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2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ONCO'!$A$1:$I$41</definedName>
    <definedName name="_xlnm.Print_Area" localSheetId="11">'CV UNICE'!$A$1:$H$41</definedName>
  </definedNames>
  <calcPr fullCalcOnLoad="1"/>
</workbook>
</file>

<file path=xl/sharedStrings.xml><?xml version="1.0" encoding="utf-8"?>
<sst xmlns="http://schemas.openxmlformats.org/spreadsheetml/2006/main" count="549" uniqueCount="92">
  <si>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</si>
  <si>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</si>
  <si>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</si>
  <si>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</si>
  <si>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</si>
  <si>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</si>
  <si>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</si>
  <si>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</si>
  <si>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</si>
  <si>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</si>
  <si>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</si>
  <si>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</si>
  <si>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</si>
  <si>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</si>
  <si>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</si>
  <si>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</si>
  <si>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</si>
  <si>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</si>
  <si>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</si>
  <si>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</si>
  <si>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</si>
  <si>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</si>
  <si>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</si>
  <si>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</si>
  <si>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</si>
  <si>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</si>
  <si>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</si>
  <si>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</si>
  <si>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</si>
  <si>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</si>
  <si>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</si>
  <si>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</si>
  <si>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</si>
  <si>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</si>
  <si>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</si>
  <si>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</si>
  <si>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</si>
  <si>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</si>
  <si>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</si>
  <si>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</si>
  <si>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</si>
  <si>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</si>
  <si>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</si>
  <si>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</si>
  <si>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</si>
  <si>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</si>
  <si>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</si>
  <si>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</si>
  <si>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</si>
  <si>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</si>
  <si>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</si>
  <si>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</si>
  <si>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</si>
  <si>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</si>
  <si>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</si>
  <si>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</si>
  <si>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</si>
  <si>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</si>
  <si>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</si>
  <si>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</si>
  <si>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</si>
  <si>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</si>
  <si>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</si>
  <si>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</si>
  <si>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</si>
  <si>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</si>
  <si>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</si>
  <si>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</si>
  <si>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</si>
  <si>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</si>
  <si>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</si>
  <si>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</si>
  <si>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</si>
  <si>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</si>
  <si>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</si>
  <si>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</si>
  <si>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</si>
  <si>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</si>
  <si>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</si>
  <si>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SITUATIA CONSUMULUI DE MEDICAMENTE COST VOLUM PENTRU PENSIONARI  PANA LA 1139 LEI AUGUST 2020</t>
  </si>
  <si>
    <t>SITUATIA CONSUMULUI DE MEDIC. PENTRU UNICE COST VOLUM   LUNA AUGUST 2020</t>
  </si>
  <si>
    <t>SITUATIA CONSUMULUI DE MEDICAMENTE IN LUNA AUGUST 2020</t>
  </si>
  <si>
    <t>SITUATIA CONSUMULUI DE MEDICAMENTE PENTRU PENSIONARI PANA LA 1139 LEI AUGUST 2020</t>
  </si>
  <si>
    <t>SITUATIA CONSUMULUI DE MEDICAMENTE PENTRU DIABET   LUNA AUGUST 2020</t>
  </si>
  <si>
    <t>SITUATIA CONSUMULUI DE MEDICAMENTE PENTRU INSULINE LUNA AUGUST 2020</t>
  </si>
  <si>
    <t>SITUATIA CONSUMULUI DE MEDICAMENTE LA  DIABET SI INSULINE AUGUST 2020</t>
  </si>
  <si>
    <t>SITUATIA CONSUMULUI LA TESTE PENTRU LUNA AUGUST 2020</t>
  </si>
  <si>
    <t>SITUATIA CONSUMULUI DE MEDICAMENTE PENTRU PNS COST VOLUM   LUNA AUGUST 2020</t>
  </si>
  <si>
    <t>SITUATIA CONSUMULUI DE MEDICAMENTE PENTRU ONCOLOGIE  LUNA AUGUST 2020</t>
  </si>
  <si>
    <t>SITUATIA CONSUMULUI DE MEDICAMENTE LA STARI POSTTRANSPLANT AUGUST 2020</t>
  </si>
  <si>
    <t>SITUATIA CONSUMULUI DE MEDICAMENTE PENTRU SCLEROZA   LUNA AUGUST 2020</t>
  </si>
  <si>
    <t>SITUATIA CONSUMULUI DE MEDICAMENTE LA STARI MUCOVISCIDOZA AUGUST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</si>
</sst>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workbookViewId="0" topLeftCell="O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81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28150.16+7858.91+5319.58+1566.95</f>
        <v>42895.6</v>
      </c>
      <c r="D5" s="25">
        <f>36358.48+7305.63+4739.17+932.16</f>
        <v>49335.44</v>
      </c>
      <c r="E5" s="25">
        <f>41391.78+5329.46+6916.69+109.68</f>
        <v>53747.61</v>
      </c>
      <c r="F5" s="25">
        <f>1141.75+310.81+157.59+98.6</f>
        <v>1708.7499999999998</v>
      </c>
      <c r="G5" s="25">
        <f>4506.74+705.84+513.34+75.29</f>
        <v>5801.21</v>
      </c>
      <c r="H5" s="26"/>
      <c r="I5" s="25"/>
      <c r="J5" s="25"/>
      <c r="K5" s="25">
        <v>2269.54</v>
      </c>
      <c r="L5" s="25">
        <v>26111.44</v>
      </c>
      <c r="M5" s="25"/>
      <c r="N5" s="25">
        <v>5053.07</v>
      </c>
      <c r="O5" s="25"/>
      <c r="P5" s="25">
        <v>8532.49</v>
      </c>
      <c r="Q5" s="57">
        <f>H5+I5+J5+K5+L5+M5+N5+O5+P5</f>
        <v>41966.54</v>
      </c>
      <c r="R5" s="58">
        <f aca="true" t="shared" si="0" ref="R5:R39">C5+D5+E5+F5+G5+H5+I5+J5+K5+L5+M5+N5+O5+P5</f>
        <v>195455.15000000002</v>
      </c>
      <c r="S5" s="59">
        <f>R5-Q5</f>
        <v>153488.61000000002</v>
      </c>
      <c r="U5" s="62"/>
    </row>
    <row r="6" spans="1:21" ht="15.75">
      <c r="A6" s="55">
        <v>2</v>
      </c>
      <c r="B6" s="56" t="s">
        <v>7</v>
      </c>
      <c r="C6" s="25">
        <f>7296.32+5444.51</f>
        <v>12740.83</v>
      </c>
      <c r="D6" s="25">
        <f>9269.46+4790.81</f>
        <v>14060.27</v>
      </c>
      <c r="E6" s="25">
        <f>3049.55+2680.78</f>
        <v>5730.33</v>
      </c>
      <c r="F6" s="25">
        <f>189.88+105.17</f>
        <v>295.05</v>
      </c>
      <c r="G6" s="25">
        <f>1188.74+470.58</f>
        <v>1659.32</v>
      </c>
      <c r="H6" s="26"/>
      <c r="I6" s="25"/>
      <c r="J6" s="25"/>
      <c r="K6" s="25"/>
      <c r="L6" s="25"/>
      <c r="M6" s="25"/>
      <c r="N6" s="25">
        <v>2783.53</v>
      </c>
      <c r="O6" s="25"/>
      <c r="P6" s="25"/>
      <c r="Q6" s="57">
        <f aca="true" t="shared" si="1" ref="Q6:Q39">H6+I6+J6+K6+L6+M6+N6+O6+P6</f>
        <v>2783.53</v>
      </c>
      <c r="R6" s="58">
        <f t="shared" si="0"/>
        <v>37269.33</v>
      </c>
      <c r="S6" s="59">
        <f aca="true" t="shared" si="2" ref="S6:S39">R6-Q6</f>
        <v>34485.8</v>
      </c>
      <c r="U6" s="62"/>
    </row>
    <row r="7" spans="1:21" ht="15.75">
      <c r="A7" s="55">
        <v>3</v>
      </c>
      <c r="B7" s="56" t="s">
        <v>8</v>
      </c>
      <c r="C7" s="25">
        <f>5671.58+1622.43+3973.9+10178.01</f>
        <v>21445.92</v>
      </c>
      <c r="D7" s="25">
        <f>7058+1056.67+6051.47+8331.79</f>
        <v>22497.93</v>
      </c>
      <c r="E7" s="25">
        <f>3087.55+539.04+1040.74+4933.28</f>
        <v>9600.61</v>
      </c>
      <c r="F7" s="25">
        <f>619.82+42.3+744.68+1700.38</f>
        <v>3107.1800000000003</v>
      </c>
      <c r="G7" s="25">
        <f>881.48+119.07+586.44+833.97</f>
        <v>2420.96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59072.6</v>
      </c>
      <c r="S7" s="59">
        <f t="shared" si="2"/>
        <v>59072.6</v>
      </c>
      <c r="U7" s="62"/>
    </row>
    <row r="8" spans="1:21" ht="15.75">
      <c r="A8" s="55">
        <v>4</v>
      </c>
      <c r="B8" s="56" t="s">
        <v>9</v>
      </c>
      <c r="C8" s="25">
        <f>6075.58+8097.14+4747.68</f>
        <v>18920.4</v>
      </c>
      <c r="D8" s="25">
        <f>4520.3+6678.11+5623.2</f>
        <v>16821.61</v>
      </c>
      <c r="E8" s="25">
        <f>3927.6+4033.1+4014.44</f>
        <v>11975.14</v>
      </c>
      <c r="F8" s="25">
        <f>126.96+44.19+147.06</f>
        <v>318.21</v>
      </c>
      <c r="G8" s="25">
        <f>1651.39+1063.22+448.73</f>
        <v>3163.34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51198.7</v>
      </c>
      <c r="S8" s="59">
        <f t="shared" si="2"/>
        <v>51198.7</v>
      </c>
      <c r="U8" s="62"/>
    </row>
    <row r="9" spans="1:21" ht="15.75">
      <c r="A9" s="55">
        <v>5</v>
      </c>
      <c r="B9" s="56" t="s">
        <v>10</v>
      </c>
      <c r="C9" s="25">
        <f>35148.45+115.79</f>
        <v>35264.24</v>
      </c>
      <c r="D9" s="25">
        <f>23780.59+102.79</f>
        <v>23883.38</v>
      </c>
      <c r="E9" s="25">
        <f>29407.86</f>
        <v>29407.86</v>
      </c>
      <c r="F9" s="26">
        <v>575.37</v>
      </c>
      <c r="G9" s="25">
        <f>3018.99+40.49</f>
        <v>3059.4799999999996</v>
      </c>
      <c r="H9" s="26"/>
      <c r="J9" s="25"/>
      <c r="K9" s="25"/>
      <c r="L9" s="25">
        <v>2269.54</v>
      </c>
      <c r="M9" s="25"/>
      <c r="N9" s="25"/>
      <c r="O9" s="25"/>
      <c r="P9" s="25"/>
      <c r="Q9" s="57">
        <f t="shared" si="1"/>
        <v>2269.54</v>
      </c>
      <c r="R9" s="58">
        <f t="shared" si="0"/>
        <v>94459.86999999998</v>
      </c>
      <c r="S9" s="59">
        <f t="shared" si="2"/>
        <v>92190.32999999999</v>
      </c>
      <c r="U9" s="62"/>
    </row>
    <row r="10" spans="1:23" ht="15.75">
      <c r="A10" s="55">
        <v>6</v>
      </c>
      <c r="B10" s="56" t="s">
        <v>11</v>
      </c>
      <c r="C10" s="25">
        <f>14078.87+11160.28+5473.16+6351.8+12341.57</f>
        <v>49405.68</v>
      </c>
      <c r="D10" s="25">
        <f>14844.04+11608.37+5829.82+5122+14343.89</f>
        <v>51748.12</v>
      </c>
      <c r="E10" s="25">
        <f>26168.34+11848.75+5829.55+3729.21+62223.94</f>
        <v>109799.79000000001</v>
      </c>
      <c r="F10" s="25">
        <f>883.7+1197.6+67.92+764.6+1116.66</f>
        <v>4030.4800000000005</v>
      </c>
      <c r="G10" s="25">
        <f>1315.13+1350.64+435.41+808.87+2169.02</f>
        <v>6079.07</v>
      </c>
      <c r="H10" s="26">
        <v>1068.41</v>
      </c>
      <c r="I10" s="25"/>
      <c r="J10" s="25"/>
      <c r="K10" s="25"/>
      <c r="L10" s="25">
        <f>3315+10983.92+2269.54</f>
        <v>16568.46</v>
      </c>
      <c r="M10" s="25">
        <f>1134.77</f>
        <v>1134.77</v>
      </c>
      <c r="N10" s="25">
        <f>6056.73+2269.54</f>
        <v>8326.27</v>
      </c>
      <c r="O10" s="25"/>
      <c r="P10" s="25">
        <v>4961.81</v>
      </c>
      <c r="Q10" s="57">
        <f t="shared" si="1"/>
        <v>32059.72</v>
      </c>
      <c r="R10" s="58">
        <f t="shared" si="0"/>
        <v>253122.86000000002</v>
      </c>
      <c r="S10" s="59">
        <f t="shared" si="2"/>
        <v>221063.14</v>
      </c>
      <c r="U10" s="62"/>
      <c r="W10" s="66"/>
    </row>
    <row r="11" spans="1:21" ht="15.75">
      <c r="A11" s="55">
        <v>7</v>
      </c>
      <c r="B11" s="56" t="s">
        <v>59</v>
      </c>
      <c r="C11" s="25">
        <f>16163.4+15096.86+8895.89+6834.92+8024.45+1701.9+5557.91</f>
        <v>62275.33</v>
      </c>
      <c r="D11" s="25">
        <f>24103.56+17013.91+9954.58+8741.29+7733.61+1210.19+5352.79</f>
        <v>74109.93</v>
      </c>
      <c r="E11" s="25">
        <f>12357.68+12120.15+3012.01+6186.42+7903.82+579.6+6953.91</f>
        <v>49113.59</v>
      </c>
      <c r="F11" s="25">
        <f>651.6+714.29+1795.31+163.25+818.77+771.27</f>
        <v>4914.49</v>
      </c>
      <c r="G11" s="25">
        <f>2978.48+1767.51+1210.88+1282.33+689.71+139.43+415.65</f>
        <v>8483.99</v>
      </c>
      <c r="H11" s="26">
        <v>327.79</v>
      </c>
      <c r="I11" s="25"/>
      <c r="J11" s="25"/>
      <c r="K11" s="25">
        <v>5673.85</v>
      </c>
      <c r="L11" s="25"/>
      <c r="M11" s="25"/>
      <c r="N11" s="25">
        <v>2269.54</v>
      </c>
      <c r="O11" s="25"/>
      <c r="P11" s="25"/>
      <c r="Q11" s="57">
        <f t="shared" si="1"/>
        <v>8271.18</v>
      </c>
      <c r="R11" s="58">
        <f t="shared" si="0"/>
        <v>207168.51</v>
      </c>
      <c r="S11" s="59">
        <f t="shared" si="2"/>
        <v>198897.33000000002</v>
      </c>
      <c r="U11" s="62"/>
    </row>
    <row r="12" spans="1:21" ht="15.75">
      <c r="A12" s="55">
        <v>8</v>
      </c>
      <c r="B12" s="56" t="s">
        <v>12</v>
      </c>
      <c r="C12" s="25">
        <v>10975.15</v>
      </c>
      <c r="D12" s="25">
        <v>25740.32</v>
      </c>
      <c r="E12" s="25">
        <v>28432.91</v>
      </c>
      <c r="F12" s="25">
        <v>205.13</v>
      </c>
      <c r="G12" s="25">
        <v>1673.78</v>
      </c>
      <c r="H12" s="26">
        <v>491.67</v>
      </c>
      <c r="I12" s="25">
        <v>163.89</v>
      </c>
      <c r="J12" s="25">
        <v>3404.54</v>
      </c>
      <c r="K12" s="25"/>
      <c r="L12" s="25">
        <v>12809.1</v>
      </c>
      <c r="M12" s="25"/>
      <c r="N12" s="25">
        <v>15529.54</v>
      </c>
      <c r="O12" s="25"/>
      <c r="P12" s="25"/>
      <c r="Q12" s="57">
        <f t="shared" si="1"/>
        <v>32398.74</v>
      </c>
      <c r="R12" s="58">
        <f t="shared" si="0"/>
        <v>99426.03</v>
      </c>
      <c r="S12" s="59">
        <f t="shared" si="2"/>
        <v>67027.29</v>
      </c>
      <c r="U12" s="62"/>
    </row>
    <row r="13" spans="1:21" ht="15.75">
      <c r="A13" s="55">
        <v>9</v>
      </c>
      <c r="B13" s="56" t="s">
        <v>13</v>
      </c>
      <c r="C13" s="25">
        <f>6643.91+752.52+9996.8</f>
        <v>17393.23</v>
      </c>
      <c r="D13" s="27">
        <f>8734.19+849.79+13415.87</f>
        <v>22999.85</v>
      </c>
      <c r="E13" s="25">
        <f>16980.93+309.5+7569.25</f>
        <v>24859.68</v>
      </c>
      <c r="F13" s="25">
        <f>223.94+72.95+1197.46</f>
        <v>1494.35</v>
      </c>
      <c r="G13" s="25">
        <f>805.65+45.28+1022.04</f>
        <v>1872.9699999999998</v>
      </c>
      <c r="H13" s="26"/>
      <c r="I13" s="25"/>
      <c r="J13" s="25"/>
      <c r="K13" s="25"/>
      <c r="L13" s="25"/>
      <c r="M13" s="25"/>
      <c r="N13" s="25"/>
      <c r="O13" s="25"/>
      <c r="P13" s="25"/>
      <c r="Q13" s="57">
        <f t="shared" si="1"/>
        <v>0</v>
      </c>
      <c r="R13" s="58">
        <f t="shared" si="0"/>
        <v>68620.08</v>
      </c>
      <c r="S13" s="59">
        <f t="shared" si="2"/>
        <v>68620.08</v>
      </c>
      <c r="U13" s="62"/>
    </row>
    <row r="14" spans="1:21" ht="15.75">
      <c r="A14" s="55">
        <v>10</v>
      </c>
      <c r="B14" s="56" t="s">
        <v>14</v>
      </c>
      <c r="C14" s="25">
        <f>19807.66+15237.72+20577.54</f>
        <v>55622.92</v>
      </c>
      <c r="D14" s="25">
        <f>25624.05+17505.74+28937.05</f>
        <v>72066.84</v>
      </c>
      <c r="E14" s="25">
        <f>9483.19+7605.67+15447.66</f>
        <v>32536.52</v>
      </c>
      <c r="F14" s="25">
        <f>762.32+597.89+1420.53</f>
        <v>2780.74</v>
      </c>
      <c r="G14" s="25">
        <f>3549.79+2106.28+2749.4</f>
        <v>8405.47</v>
      </c>
      <c r="H14" s="26"/>
      <c r="I14" s="25"/>
      <c r="J14" s="25"/>
      <c r="K14" s="25"/>
      <c r="L14" s="25">
        <f>2783.53+2269.54+7836.6</f>
        <v>12889.67</v>
      </c>
      <c r="M14" s="25">
        <f>1134.77</f>
        <v>1134.77</v>
      </c>
      <c r="N14" s="25">
        <f>9592.15+6187.84</f>
        <v>15779.99</v>
      </c>
      <c r="O14" s="25">
        <v>1843.14</v>
      </c>
      <c r="P14" s="25"/>
      <c r="Q14" s="57">
        <f t="shared" si="1"/>
        <v>31647.57</v>
      </c>
      <c r="R14" s="58">
        <f t="shared" si="0"/>
        <v>203060.06</v>
      </c>
      <c r="S14" s="59">
        <f t="shared" si="2"/>
        <v>171412.49</v>
      </c>
      <c r="U14" s="62"/>
    </row>
    <row r="15" spans="1:21" ht="15.75">
      <c r="A15" s="55">
        <v>11</v>
      </c>
      <c r="B15" s="56" t="s">
        <v>15</v>
      </c>
      <c r="C15" s="25">
        <v>26907.61</v>
      </c>
      <c r="D15" s="25">
        <v>35572.48</v>
      </c>
      <c r="E15" s="25">
        <v>25157.26</v>
      </c>
      <c r="F15" s="25">
        <v>1115.28</v>
      </c>
      <c r="G15" s="25">
        <v>5108.33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93860.96</v>
      </c>
      <c r="S15" s="59">
        <f t="shared" si="2"/>
        <v>93860.96</v>
      </c>
      <c r="U15" s="62"/>
    </row>
    <row r="16" spans="1:22" ht="15.75">
      <c r="A16" s="55">
        <v>12</v>
      </c>
      <c r="B16" s="56" t="s">
        <v>16</v>
      </c>
      <c r="C16" s="25">
        <v>17363.2</v>
      </c>
      <c r="D16" s="25">
        <v>11957.77</v>
      </c>
      <c r="E16" s="25">
        <v>6088.99</v>
      </c>
      <c r="F16" s="25">
        <v>644.19</v>
      </c>
      <c r="G16" s="25">
        <v>1592.26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37646.41</v>
      </c>
      <c r="S16" s="59">
        <f t="shared" si="2"/>
        <v>37646.41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31373.81+11952.02+5677.43</f>
        <v>49003.26</v>
      </c>
      <c r="D17" s="25">
        <f>25480.58+9863.48+4798.21</f>
        <v>40142.27</v>
      </c>
      <c r="E17" s="25">
        <f>15278.8+6505.82+4475.82</f>
        <v>26260.44</v>
      </c>
      <c r="F17" s="25">
        <f>4598.48+738.11+12.95</f>
        <v>5349.539999999999</v>
      </c>
      <c r="G17" s="25">
        <f>2940.28+773.65+360.17</f>
        <v>4074.1000000000004</v>
      </c>
      <c r="H17" s="26"/>
      <c r="I17" s="25"/>
      <c r="J17" s="25"/>
      <c r="K17" s="25"/>
      <c r="L17" s="25"/>
      <c r="M17" s="25"/>
      <c r="N17" s="25"/>
      <c r="O17" s="25"/>
      <c r="P17" s="25"/>
      <c r="Q17" s="57">
        <f t="shared" si="1"/>
        <v>0</v>
      </c>
      <c r="R17" s="58">
        <f t="shared" si="0"/>
        <v>124829.61</v>
      </c>
      <c r="S17" s="59">
        <f t="shared" si="2"/>
        <v>124829.61</v>
      </c>
      <c r="U17" s="62"/>
    </row>
    <row r="18" spans="1:21" ht="15.75">
      <c r="A18" s="55">
        <v>14</v>
      </c>
      <c r="B18" s="56" t="s">
        <v>18</v>
      </c>
      <c r="C18" s="25">
        <f>12518.59+2967.95</f>
        <v>15486.54</v>
      </c>
      <c r="D18" s="25">
        <f>11905.51+2465.92</f>
        <v>14371.43</v>
      </c>
      <c r="E18" s="25">
        <f>5092.01+917.79</f>
        <v>6009.8</v>
      </c>
      <c r="F18" s="25">
        <f>1063.86+307.27</f>
        <v>1371.1299999999999</v>
      </c>
      <c r="G18" s="25">
        <f>1711.49+457.86</f>
        <v>2169.35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39408.25</v>
      </c>
      <c r="S18" s="59">
        <f t="shared" si="2"/>
        <v>39408.25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2246.87+3652.05+1630.47+1962.44</f>
        <v>9491.83</v>
      </c>
      <c r="D20" s="25">
        <f>3326.54+4049.81+1065.76+3006.57</f>
        <v>11448.68</v>
      </c>
      <c r="E20" s="25">
        <f>1658.15+348.53+849.97+502.05</f>
        <v>3358.7000000000003</v>
      </c>
      <c r="F20" s="25">
        <f>128.96+85.75+70.14+395.27</f>
        <v>680.12</v>
      </c>
      <c r="G20" s="25">
        <f>587.23+585.65+133.68+375.63</f>
        <v>1682.19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26661.52</v>
      </c>
      <c r="S20" s="59">
        <f t="shared" si="2"/>
        <v>26661.52</v>
      </c>
      <c r="U20" s="62"/>
    </row>
    <row r="21" spans="1:21" ht="15.75">
      <c r="A21" s="55">
        <v>17</v>
      </c>
      <c r="B21" s="56" t="s">
        <v>21</v>
      </c>
      <c r="C21" s="25">
        <v>14210.59</v>
      </c>
      <c r="D21" s="25">
        <v>16140.04</v>
      </c>
      <c r="E21" s="25">
        <v>10273.73</v>
      </c>
      <c r="F21" s="25">
        <v>428.9</v>
      </c>
      <c r="G21" s="25">
        <v>2439.36</v>
      </c>
      <c r="H21" s="26">
        <v>819.43</v>
      </c>
      <c r="I21" s="25"/>
      <c r="J21" s="25">
        <v>4988.29</v>
      </c>
      <c r="K21" s="25"/>
      <c r="L21" s="25"/>
      <c r="M21" s="25"/>
      <c r="N21" s="25">
        <v>3787.19</v>
      </c>
      <c r="O21" s="25"/>
      <c r="P21" s="25"/>
      <c r="Q21" s="57">
        <f t="shared" si="1"/>
        <v>9594.91</v>
      </c>
      <c r="R21" s="58">
        <f t="shared" si="0"/>
        <v>53087.530000000006</v>
      </c>
      <c r="S21" s="59">
        <f t="shared" si="2"/>
        <v>43492.62000000001</v>
      </c>
      <c r="U21" s="62"/>
    </row>
    <row r="22" spans="1:21" ht="15.75">
      <c r="A22" s="55">
        <v>18</v>
      </c>
      <c r="B22" s="56" t="s">
        <v>22</v>
      </c>
      <c r="C22" s="25">
        <f>14151.11+4763.96+15812.63+2685.8+8033.98+1848.07</f>
        <v>47295.549999999996</v>
      </c>
      <c r="D22" s="25">
        <f>20118.47+3681.24+15361.7+3743.84+5099.37+2181.01</f>
        <v>50185.630000000005</v>
      </c>
      <c r="E22" s="25">
        <f>19996.19+6784.47+13823.47+293.77+554.89+2091.38</f>
        <v>43544.16999999999</v>
      </c>
      <c r="F22" s="25">
        <f>907.01+1117.91+582.99+60.9+9155.87+117.39</f>
        <v>11942.07</v>
      </c>
      <c r="G22" s="25">
        <f>2207.99+426.68+2493.17+255.77+559.02+251.26</f>
        <v>6193.890000000001</v>
      </c>
      <c r="H22" s="26">
        <f>983.39+163.9</f>
        <v>1147.29</v>
      </c>
      <c r="I22" s="25"/>
      <c r="J22" s="25"/>
      <c r="K22" s="25">
        <v>5673.85</v>
      </c>
      <c r="L22" s="25">
        <v>2783.53</v>
      </c>
      <c r="M22" s="25"/>
      <c r="N22" s="25"/>
      <c r="O22" s="25"/>
      <c r="P22" s="25"/>
      <c r="Q22" s="57">
        <f t="shared" si="1"/>
        <v>9604.67</v>
      </c>
      <c r="R22" s="58">
        <f t="shared" si="0"/>
        <v>168765.98</v>
      </c>
      <c r="S22" s="59">
        <f t="shared" si="2"/>
        <v>159161.31</v>
      </c>
      <c r="U22" s="62"/>
    </row>
    <row r="23" spans="1:21" ht="15.75">
      <c r="A23" s="55">
        <v>19</v>
      </c>
      <c r="B23" s="56" t="s">
        <v>23</v>
      </c>
      <c r="C23" s="25">
        <v>5845.71</v>
      </c>
      <c r="D23" s="25">
        <v>4674.35</v>
      </c>
      <c r="E23" s="25">
        <v>3672.13</v>
      </c>
      <c r="F23" s="25">
        <v>190.73</v>
      </c>
      <c r="G23" s="25">
        <v>566.06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14948.980000000001</v>
      </c>
      <c r="S23" s="59">
        <f t="shared" si="2"/>
        <v>14948.980000000001</v>
      </c>
      <c r="U23" s="62"/>
    </row>
    <row r="24" spans="1:21" ht="15.75">
      <c r="A24" s="55">
        <v>20</v>
      </c>
      <c r="B24" s="56" t="s">
        <v>24</v>
      </c>
      <c r="C24" s="25">
        <f>3390.75+1342.01</f>
        <v>4732.76</v>
      </c>
      <c r="D24" s="25">
        <f>2296.86+1090.2</f>
        <v>3387.0600000000004</v>
      </c>
      <c r="E24" s="25">
        <f>1075.4+236.17</f>
        <v>1311.5700000000002</v>
      </c>
      <c r="F24" s="25">
        <f>305.94+449.56</f>
        <v>755.5</v>
      </c>
      <c r="G24" s="25">
        <f>540.98+53.18</f>
        <v>594.16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10781.050000000001</v>
      </c>
      <c r="S24" s="59">
        <f t="shared" si="2"/>
        <v>10781.050000000001</v>
      </c>
      <c r="U24" s="62"/>
    </row>
    <row r="25" spans="1:21" ht="15.75">
      <c r="A25" s="55">
        <v>21</v>
      </c>
      <c r="B25" s="56" t="s">
        <v>25</v>
      </c>
      <c r="C25" s="25">
        <f>8832.02+7260.45+13813.44+5399.6</f>
        <v>35305.51</v>
      </c>
      <c r="D25" s="25">
        <f>8930.9+11749.58+20067.77+6927.03</f>
        <v>47675.28</v>
      </c>
      <c r="E25" s="25">
        <f>3347.94+4986.57+16437.54+1263.94</f>
        <v>26035.99</v>
      </c>
      <c r="F25" s="25">
        <f>301.9+81.91+340.28+295.02</f>
        <v>1019.1099999999999</v>
      </c>
      <c r="G25" s="25">
        <f>699.03+1089.95+1800.76+615.43</f>
        <v>4205.17</v>
      </c>
      <c r="H25" s="25">
        <f>491.67+412.81</f>
        <v>904.48</v>
      </c>
      <c r="I25" s="25"/>
      <c r="J25" s="25">
        <v>873.65</v>
      </c>
      <c r="K25" s="25"/>
      <c r="L25" s="25">
        <f>71716.84+3220.96</f>
        <v>74937.8</v>
      </c>
      <c r="M25" s="25">
        <v>2269.54</v>
      </c>
      <c r="N25" s="25">
        <v>9078.16</v>
      </c>
      <c r="O25" s="25"/>
      <c r="P25" s="25">
        <v>35177.87</v>
      </c>
      <c r="Q25" s="57">
        <f t="shared" si="1"/>
        <v>123241.5</v>
      </c>
      <c r="R25" s="58">
        <f t="shared" si="0"/>
        <v>237482.56</v>
      </c>
      <c r="S25" s="59">
        <f t="shared" si="2"/>
        <v>114241.06</v>
      </c>
      <c r="U25" s="62"/>
    </row>
    <row r="26" spans="1:21" ht="15.75">
      <c r="A26" s="55">
        <v>22</v>
      </c>
      <c r="B26" s="56" t="s">
        <v>26</v>
      </c>
      <c r="C26" s="25">
        <v>2306.09</v>
      </c>
      <c r="D26" s="25">
        <v>4236.24</v>
      </c>
      <c r="E26" s="25">
        <v>7715.16</v>
      </c>
      <c r="F26" s="25">
        <v>149.43</v>
      </c>
      <c r="G26" s="25">
        <v>389.19</v>
      </c>
      <c r="H26" s="26"/>
      <c r="I26" s="25"/>
      <c r="J26" s="25"/>
      <c r="K26" s="25"/>
      <c r="L26" s="25"/>
      <c r="M26" s="25"/>
      <c r="N26" s="25">
        <v>3787.19</v>
      </c>
      <c r="O26" s="25"/>
      <c r="P26" s="25"/>
      <c r="Q26" s="57">
        <f t="shared" si="1"/>
        <v>3787.19</v>
      </c>
      <c r="R26" s="58">
        <f t="shared" si="0"/>
        <v>18583.3</v>
      </c>
      <c r="S26" s="59">
        <f t="shared" si="2"/>
        <v>14796.109999999999</v>
      </c>
      <c r="U26" s="62"/>
    </row>
    <row r="27" spans="1:21" ht="15.75">
      <c r="A27" s="55">
        <v>23</v>
      </c>
      <c r="B27" s="56" t="s">
        <v>27</v>
      </c>
      <c r="C27" s="25">
        <f>7729.71+4542.65</f>
        <v>12272.36</v>
      </c>
      <c r="D27" s="25">
        <f>9076.4+3424.85</f>
        <v>12501.25</v>
      </c>
      <c r="E27" s="25">
        <f>2294.21+1901.93</f>
        <v>4196.14</v>
      </c>
      <c r="F27" s="25">
        <f>240.76+125.87</f>
        <v>366.63</v>
      </c>
      <c r="G27" s="25">
        <f>951.79+462.86</f>
        <v>1414.65</v>
      </c>
      <c r="H27" s="26"/>
      <c r="I27" s="25"/>
      <c r="J27" s="25"/>
      <c r="K27" s="25"/>
      <c r="L27" s="25">
        <v>3315</v>
      </c>
      <c r="M27" s="25"/>
      <c r="N27" s="25"/>
      <c r="O27" s="25">
        <v>1170.2</v>
      </c>
      <c r="P27" s="25"/>
      <c r="Q27" s="57">
        <f t="shared" si="1"/>
        <v>4485.2</v>
      </c>
      <c r="R27" s="58">
        <f t="shared" si="0"/>
        <v>35236.229999999996</v>
      </c>
      <c r="S27" s="59">
        <f t="shared" si="2"/>
        <v>30751.029999999995</v>
      </c>
      <c r="U27" s="62"/>
    </row>
    <row r="28" spans="1:21" ht="15.75">
      <c r="A28" s="55">
        <v>24</v>
      </c>
      <c r="B28" s="56" t="s">
        <v>28</v>
      </c>
      <c r="C28" s="25">
        <f>6652.31+3535.59</f>
        <v>10187.900000000001</v>
      </c>
      <c r="D28" s="25">
        <f>5863.43+4174.89</f>
        <v>10038.32</v>
      </c>
      <c r="E28" s="25">
        <f>10080.55+4438.51</f>
        <v>14519.06</v>
      </c>
      <c r="F28" s="25">
        <f>284.41+36.69</f>
        <v>321.1</v>
      </c>
      <c r="G28" s="25">
        <f>757.87+532.97</f>
        <v>1290.8400000000001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36357.22</v>
      </c>
      <c r="S28" s="59">
        <f t="shared" si="2"/>
        <v>36357.22</v>
      </c>
      <c r="U28" s="62"/>
    </row>
    <row r="29" spans="1:21" ht="15.75">
      <c r="A29" s="55">
        <v>25</v>
      </c>
      <c r="B29" s="56" t="s">
        <v>29</v>
      </c>
      <c r="C29" s="25">
        <f>16418.59+12397.61+16694.71</f>
        <v>45510.91</v>
      </c>
      <c r="D29" s="25">
        <f>26579.98+21769.68+16219.53</f>
        <v>64569.19</v>
      </c>
      <c r="E29" s="25">
        <f>11911.07+4751.94+6028.43</f>
        <v>22691.44</v>
      </c>
      <c r="F29" s="25">
        <f>731.96+559.31+264.41</f>
        <v>1555.68</v>
      </c>
      <c r="G29" s="25">
        <f>2103.41+1986.12+2146.28</f>
        <v>6235.8099999999995</v>
      </c>
      <c r="H29" s="26">
        <v>491.7</v>
      </c>
      <c r="I29" s="25"/>
      <c r="J29" s="25"/>
      <c r="K29" s="25"/>
      <c r="L29" s="25"/>
      <c r="M29" s="25">
        <v>2269.54</v>
      </c>
      <c r="N29" s="25">
        <v>3787.19</v>
      </c>
      <c r="O29" s="25"/>
      <c r="P29" s="25"/>
      <c r="Q29" s="57">
        <f t="shared" si="1"/>
        <v>6548.43</v>
      </c>
      <c r="R29" s="58">
        <f t="shared" si="0"/>
        <v>147111.46000000002</v>
      </c>
      <c r="S29" s="59">
        <f t="shared" si="2"/>
        <v>140563.03000000003</v>
      </c>
      <c r="U29" s="62"/>
    </row>
    <row r="30" spans="1:21" ht="15.75">
      <c r="A30" s="55">
        <v>26</v>
      </c>
      <c r="B30" s="56" t="s">
        <v>30</v>
      </c>
      <c r="C30" s="25">
        <f>31584.38+3963.41</f>
        <v>35547.79</v>
      </c>
      <c r="D30" s="25">
        <f>36868.18+3650.86</f>
        <v>40519.04</v>
      </c>
      <c r="E30" s="25">
        <f>20669.7+694.32</f>
        <v>21364.02</v>
      </c>
      <c r="F30" s="25">
        <f>2047.36+247.77</f>
        <v>2295.13</v>
      </c>
      <c r="G30" s="25">
        <f>5038.01+468.36</f>
        <v>5506.37</v>
      </c>
      <c r="H30" s="26">
        <v>655.59</v>
      </c>
      <c r="I30" s="25"/>
      <c r="J30" s="25"/>
      <c r="K30" s="25">
        <v>4539.08</v>
      </c>
      <c r="L30" s="25"/>
      <c r="M30" s="25"/>
      <c r="N30" s="25">
        <v>4539.08</v>
      </c>
      <c r="O30" s="25"/>
      <c r="P30" s="25"/>
      <c r="Q30" s="57">
        <f t="shared" si="1"/>
        <v>9733.75</v>
      </c>
      <c r="R30" s="58">
        <f t="shared" si="0"/>
        <v>114966.1</v>
      </c>
      <c r="S30" s="59">
        <f t="shared" si="2"/>
        <v>105232.35</v>
      </c>
      <c r="U30" s="62"/>
    </row>
    <row r="31" spans="1:21" ht="15.75">
      <c r="A31" s="55">
        <v>27</v>
      </c>
      <c r="B31" s="56" t="s">
        <v>40</v>
      </c>
      <c r="C31" s="25">
        <v>3070.36</v>
      </c>
      <c r="D31" s="25">
        <v>2752.35</v>
      </c>
      <c r="E31" s="25">
        <v>1371.23</v>
      </c>
      <c r="F31" s="25">
        <v>166.14</v>
      </c>
      <c r="G31" s="25">
        <v>273.91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7633.990000000001</v>
      </c>
      <c r="S31" s="59">
        <f t="shared" si="2"/>
        <v>7633.990000000001</v>
      </c>
      <c r="U31" s="62"/>
    </row>
    <row r="32" spans="1:21" ht="15.75">
      <c r="A32" s="55">
        <v>28</v>
      </c>
      <c r="B32" s="56" t="s">
        <v>41</v>
      </c>
      <c r="C32" s="25">
        <f>11529.17+1131.64+2748.42+3577.29</f>
        <v>18986.52</v>
      </c>
      <c r="D32" s="25">
        <f>9875.91+1000.03+2085.38+4834.4</f>
        <v>17795.72</v>
      </c>
      <c r="E32" s="25">
        <f>8877.14+893.79+2891.03+3803.31</f>
        <v>16465.27</v>
      </c>
      <c r="F32" s="25">
        <f>762.79+100.88+363.15</f>
        <v>1226.82</v>
      </c>
      <c r="G32" s="25">
        <f>942.23+205.03+396.85+363.28</f>
        <v>1907.39</v>
      </c>
      <c r="H32" s="26"/>
      <c r="I32" s="25"/>
      <c r="J32" s="25">
        <v>1702.27</v>
      </c>
      <c r="K32" s="25"/>
      <c r="L32" s="25"/>
      <c r="M32" s="25">
        <v>2783.53</v>
      </c>
      <c r="N32" s="25"/>
      <c r="O32" s="25"/>
      <c r="P32" s="25"/>
      <c r="Q32" s="57">
        <f t="shared" si="1"/>
        <v>4485.8</v>
      </c>
      <c r="R32" s="58">
        <f t="shared" si="0"/>
        <v>60867.520000000004</v>
      </c>
      <c r="S32" s="59">
        <f t="shared" si="2"/>
        <v>56381.72</v>
      </c>
      <c r="U32" s="62"/>
    </row>
    <row r="33" spans="1:21" ht="15.75">
      <c r="A33" s="55">
        <v>29</v>
      </c>
      <c r="B33" s="56" t="s">
        <v>42</v>
      </c>
      <c r="C33" s="25">
        <v>16931.53</v>
      </c>
      <c r="D33" s="25">
        <v>21092.01</v>
      </c>
      <c r="E33" s="25">
        <v>5910.97</v>
      </c>
      <c r="F33" s="25">
        <v>407.7</v>
      </c>
      <c r="G33" s="25">
        <v>2081.97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46424.17999999999</v>
      </c>
      <c r="S33" s="59">
        <f t="shared" si="2"/>
        <v>46424.17999999999</v>
      </c>
      <c r="U33" s="62"/>
    </row>
    <row r="34" spans="1:21" ht="15.75">
      <c r="A34" s="55">
        <v>30</v>
      </c>
      <c r="B34" s="56" t="s">
        <v>44</v>
      </c>
      <c r="C34" s="25">
        <v>7844.78</v>
      </c>
      <c r="D34" s="25">
        <v>4998.57</v>
      </c>
      <c r="E34" s="25">
        <v>3416.07</v>
      </c>
      <c r="F34" s="25">
        <v>765.07</v>
      </c>
      <c r="G34" s="25">
        <v>792.14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17816.629999999997</v>
      </c>
      <c r="S34" s="59">
        <f t="shared" si="2"/>
        <v>17816.629999999997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6786.59</v>
      </c>
      <c r="D36" s="25">
        <v>8383.51</v>
      </c>
      <c r="E36" s="25">
        <v>5473.66</v>
      </c>
      <c r="F36" s="25">
        <v>318.43</v>
      </c>
      <c r="G36" s="25">
        <v>729.86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58">
        <f t="shared" si="0"/>
        <v>21692.050000000003</v>
      </c>
      <c r="S36" s="59">
        <f t="shared" si="2"/>
        <v>21692.050000000003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3847.62</v>
      </c>
      <c r="D37" s="25">
        <v>3861.47</v>
      </c>
      <c r="E37" s="25">
        <v>892.13</v>
      </c>
      <c r="F37" s="25">
        <v>137.34</v>
      </c>
      <c r="G37" s="25">
        <v>489.49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9228.05</v>
      </c>
      <c r="S37" s="59">
        <f t="shared" si="2"/>
        <v>9228.05</v>
      </c>
      <c r="U37" s="62"/>
    </row>
    <row r="38" spans="1:21" s="4" customFormat="1" ht="15.75">
      <c r="A38" s="55">
        <v>34</v>
      </c>
      <c r="B38" s="56" t="s">
        <v>61</v>
      </c>
      <c r="C38" s="25">
        <v>5233.38</v>
      </c>
      <c r="D38" s="25">
        <v>5634.63</v>
      </c>
      <c r="E38" s="25">
        <v>769.8</v>
      </c>
      <c r="F38" s="25">
        <v>1342.65</v>
      </c>
      <c r="G38" s="25">
        <v>563.33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13543.789999999999</v>
      </c>
      <c r="S38" s="59">
        <f t="shared" si="2"/>
        <v>13543.789999999999</v>
      </c>
      <c r="U38" s="62"/>
    </row>
    <row r="39" spans="1:21" s="4" customFormat="1" ht="16.5" thickBot="1">
      <c r="A39" s="55">
        <v>35</v>
      </c>
      <c r="B39" s="56" t="s">
        <v>71</v>
      </c>
      <c r="C39" s="25">
        <v>3502.21</v>
      </c>
      <c r="D39" s="25">
        <v>2262.37</v>
      </c>
      <c r="E39" s="25">
        <v>771.07</v>
      </c>
      <c r="F39" s="25">
        <v>913.13</v>
      </c>
      <c r="G39" s="25">
        <v>319.62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7768.4</v>
      </c>
      <c r="S39" s="59">
        <f t="shared" si="2"/>
        <v>7768.4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724609.9</v>
      </c>
      <c r="D40" s="57">
        <f>SUM(D5:D39)</f>
        <v>807463.3499999999</v>
      </c>
      <c r="E40" s="57">
        <f aca="true" t="shared" si="3" ref="E40:P40">SUM(E5:E39)</f>
        <v>612472.84</v>
      </c>
      <c r="F40" s="57">
        <f t="shared" si="3"/>
        <v>52891.569999999985</v>
      </c>
      <c r="G40" s="57">
        <f t="shared" si="3"/>
        <v>93239.03</v>
      </c>
      <c r="H40" s="57">
        <f t="shared" si="3"/>
        <v>5906.36</v>
      </c>
      <c r="I40" s="57">
        <f t="shared" si="3"/>
        <v>163.89</v>
      </c>
      <c r="J40" s="57">
        <f t="shared" si="3"/>
        <v>10968.75</v>
      </c>
      <c r="K40" s="57">
        <f t="shared" si="3"/>
        <v>18156.32</v>
      </c>
      <c r="L40" s="57">
        <f t="shared" si="3"/>
        <v>151684.54</v>
      </c>
      <c r="M40" s="57">
        <f t="shared" si="3"/>
        <v>9592.15</v>
      </c>
      <c r="N40" s="57">
        <f t="shared" si="3"/>
        <v>74720.75</v>
      </c>
      <c r="O40" s="57">
        <f t="shared" si="3"/>
        <v>3013.34</v>
      </c>
      <c r="P40" s="57">
        <f t="shared" si="3"/>
        <v>48672.17</v>
      </c>
      <c r="Q40" s="57">
        <f>SUM(Q5:Q39)</f>
        <v>322878.27</v>
      </c>
      <c r="R40" s="58">
        <f>SUM(R5:R39)</f>
        <v>2613554.9600000004</v>
      </c>
      <c r="S40" s="59">
        <f>SUM(S5:S39)</f>
        <v>2290676.6900000004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6" sqref="C6:C40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9" t="s">
        <v>89</v>
      </c>
      <c r="B3" s="79"/>
      <c r="C3" s="79"/>
      <c r="D3" s="79"/>
      <c r="E3" s="79"/>
      <c r="F3" s="79"/>
      <c r="G3" s="79"/>
    </row>
    <row r="4" spans="1:7" ht="14.25">
      <c r="A4" s="81"/>
      <c r="B4" s="81"/>
      <c r="C4" s="81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30870.1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803.76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31673.859999999997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C6" sqref="C6:C40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9" t="s">
        <v>90</v>
      </c>
      <c r="B3" s="79"/>
      <c r="C3" s="79"/>
      <c r="D3" s="79"/>
      <c r="E3" s="79"/>
      <c r="F3" s="79"/>
      <c r="G3" s="79"/>
      <c r="H3" s="79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7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440.51</v>
      </c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440.51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881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1762.02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4">
      <selection activeCell="D26" sqref="D26"/>
    </sheetView>
  </sheetViews>
  <sheetFormatPr defaultColWidth="9.140625" defaultRowHeight="12.75"/>
  <cols>
    <col min="1" max="1" width="9.421875" style="0" bestFit="1" customWidth="1"/>
    <col min="2" max="2" width="33.28125" style="0" customWidth="1"/>
    <col min="3" max="3" width="15.140625" style="0" customWidth="1"/>
    <col min="4" max="4" width="11.8515625" style="0" bestFit="1" customWidth="1"/>
    <col min="5" max="5" width="10.8515625" style="0" customWidth="1"/>
    <col min="6" max="6" width="11.57421875" style="0" customWidth="1"/>
    <col min="7" max="7" width="13.7109375" style="0" customWidth="1"/>
    <col min="8" max="8" width="15.00390625" style="0" customWidth="1"/>
  </cols>
  <sheetData>
    <row r="3" spans="1:11" ht="15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25">
      <c r="A4" s="36"/>
      <c r="B4" s="36"/>
      <c r="C4" s="38"/>
      <c r="D4" s="1"/>
      <c r="E4" s="1"/>
      <c r="F4" s="1"/>
      <c r="G4" s="1"/>
      <c r="H4" s="1"/>
      <c r="I4" s="1"/>
      <c r="J4" s="36"/>
      <c r="K4" s="36"/>
    </row>
    <row r="5" spans="1:11" ht="30">
      <c r="A5" s="73" t="s">
        <v>0</v>
      </c>
      <c r="B5" s="73" t="s">
        <v>1</v>
      </c>
      <c r="C5" s="73" t="s">
        <v>72</v>
      </c>
      <c r="D5" s="73" t="s">
        <v>73</v>
      </c>
      <c r="E5" s="73" t="s">
        <v>76</v>
      </c>
      <c r="F5" s="73" t="s">
        <v>77</v>
      </c>
      <c r="G5" s="73" t="s">
        <v>74</v>
      </c>
      <c r="H5" s="74" t="s">
        <v>75</v>
      </c>
      <c r="I5" s="36"/>
      <c r="J5" s="36"/>
      <c r="K5" s="36"/>
    </row>
    <row r="6" spans="1:11" ht="15.75">
      <c r="A6" s="55">
        <v>1</v>
      </c>
      <c r="B6" s="56" t="s">
        <v>6</v>
      </c>
      <c r="C6" s="6">
        <v>980.34</v>
      </c>
      <c r="D6" s="71">
        <v>1293.16</v>
      </c>
      <c r="E6" s="71">
        <v>459.38</v>
      </c>
      <c r="F6" s="71"/>
      <c r="G6" s="71">
        <v>1954.88</v>
      </c>
      <c r="H6" s="69">
        <f>C6+D6+E6+F6+G6</f>
        <v>4687.76</v>
      </c>
      <c r="I6" s="36"/>
      <c r="J6" s="36"/>
      <c r="K6" s="36"/>
    </row>
    <row r="7" spans="1:8" ht="15.75">
      <c r="A7" s="55">
        <v>2</v>
      </c>
      <c r="B7" s="56" t="s">
        <v>7</v>
      </c>
      <c r="C7" s="67">
        <v>326.78</v>
      </c>
      <c r="D7" s="72">
        <v>1418.6</v>
      </c>
      <c r="E7" s="72"/>
      <c r="F7" s="72"/>
      <c r="G7" s="72">
        <f>160.37+150.73</f>
        <v>311.1</v>
      </c>
      <c r="H7" s="69">
        <f aca="true" t="shared" si="0" ref="H7:H41">C7+D7+E7+F7+G7</f>
        <v>2056.48</v>
      </c>
    </row>
    <row r="8" spans="1:8" ht="15.75">
      <c r="A8" s="55">
        <v>3</v>
      </c>
      <c r="B8" s="56" t="s">
        <v>8</v>
      </c>
      <c r="C8" s="67">
        <v>326.78</v>
      </c>
      <c r="D8" s="72">
        <v>709.3</v>
      </c>
      <c r="E8" s="72"/>
      <c r="F8" s="72"/>
      <c r="G8" s="72">
        <f>150.73+160.37</f>
        <v>311.1</v>
      </c>
      <c r="H8" s="69">
        <f t="shared" si="0"/>
        <v>1347.1799999999998</v>
      </c>
    </row>
    <row r="9" spans="1:8" ht="15.75">
      <c r="A9" s="55">
        <v>4</v>
      </c>
      <c r="B9" s="56" t="s">
        <v>9</v>
      </c>
      <c r="C9" s="67">
        <v>326.78</v>
      </c>
      <c r="D9" s="72"/>
      <c r="E9" s="72"/>
      <c r="F9" s="72"/>
      <c r="G9" s="72"/>
      <c r="H9" s="69">
        <f t="shared" si="0"/>
        <v>326.78</v>
      </c>
    </row>
    <row r="10" spans="1:8" ht="15.75">
      <c r="A10" s="55">
        <v>5</v>
      </c>
      <c r="B10" s="56" t="s">
        <v>10</v>
      </c>
      <c r="C10" s="67"/>
      <c r="D10" s="72">
        <v>1355.88</v>
      </c>
      <c r="E10" s="72"/>
      <c r="F10" s="72"/>
      <c r="G10" s="72">
        <v>1035.44</v>
      </c>
      <c r="H10" s="69">
        <f t="shared" si="0"/>
        <v>2391.32</v>
      </c>
    </row>
    <row r="11" spans="1:8" ht="15.75">
      <c r="A11" s="55">
        <v>6</v>
      </c>
      <c r="B11" s="56" t="s">
        <v>11</v>
      </c>
      <c r="C11" s="67">
        <v>653.56</v>
      </c>
      <c r="D11" s="72">
        <v>709.3</v>
      </c>
      <c r="E11" s="72"/>
      <c r="F11" s="72"/>
      <c r="G11" s="72">
        <f>461.83+80.18+471.46+612.56</f>
        <v>1626.03</v>
      </c>
      <c r="H11" s="69">
        <f t="shared" si="0"/>
        <v>2988.89</v>
      </c>
    </row>
    <row r="12" spans="1:8" ht="15.75">
      <c r="A12" s="55">
        <v>7</v>
      </c>
      <c r="B12" s="56" t="s">
        <v>59</v>
      </c>
      <c r="C12" s="67">
        <v>326.78</v>
      </c>
      <c r="D12" s="72">
        <v>646.58</v>
      </c>
      <c r="E12" s="72">
        <f>459.38</f>
        <v>459.38</v>
      </c>
      <c r="F12" s="72"/>
      <c r="G12" s="72">
        <f>446.74+80.18+150.73+150.72+433.35</f>
        <v>1261.7200000000003</v>
      </c>
      <c r="H12" s="69">
        <f t="shared" si="0"/>
        <v>2694.46</v>
      </c>
    </row>
    <row r="13" spans="1:8" ht="15.75">
      <c r="A13" s="55">
        <v>8</v>
      </c>
      <c r="B13" s="56" t="s">
        <v>12</v>
      </c>
      <c r="C13" s="67">
        <v>326.78</v>
      </c>
      <c r="D13" s="72"/>
      <c r="E13" s="72">
        <v>1378.14</v>
      </c>
      <c r="F13" s="72"/>
      <c r="G13" s="72">
        <v>584.08</v>
      </c>
      <c r="H13" s="69">
        <f t="shared" si="0"/>
        <v>2289</v>
      </c>
    </row>
    <row r="14" spans="1:8" ht="15.75">
      <c r="A14" s="55">
        <v>9</v>
      </c>
      <c r="B14" s="56" t="s">
        <v>13</v>
      </c>
      <c r="C14" s="67">
        <f>326.78+653.56</f>
        <v>980.3399999999999</v>
      </c>
      <c r="D14" s="72">
        <v>709.3</v>
      </c>
      <c r="E14" s="72"/>
      <c r="F14" s="72"/>
      <c r="G14" s="72">
        <f>475.38+160.37</f>
        <v>635.75</v>
      </c>
      <c r="H14" s="69">
        <f t="shared" si="0"/>
        <v>2325.39</v>
      </c>
    </row>
    <row r="15" spans="1:8" ht="15.75">
      <c r="A15" s="55">
        <v>10</v>
      </c>
      <c r="B15" s="56" t="s">
        <v>14</v>
      </c>
      <c r="C15" s="67">
        <v>980.34</v>
      </c>
      <c r="D15" s="72">
        <f>709.3</f>
        <v>709.3</v>
      </c>
      <c r="E15" s="72"/>
      <c r="F15" s="72"/>
      <c r="G15" s="72">
        <f>1176.92+80.18+584.29</f>
        <v>1841.39</v>
      </c>
      <c r="H15" s="69">
        <f t="shared" si="0"/>
        <v>3531.0299999999997</v>
      </c>
    </row>
    <row r="16" spans="1:8" ht="15.75">
      <c r="A16" s="55">
        <v>11</v>
      </c>
      <c r="B16" s="56" t="s">
        <v>15</v>
      </c>
      <c r="C16" s="67">
        <v>1633.9</v>
      </c>
      <c r="D16" s="72"/>
      <c r="E16" s="72"/>
      <c r="F16" s="72"/>
      <c r="G16" s="72">
        <v>1288.66</v>
      </c>
      <c r="H16" s="69">
        <f t="shared" si="0"/>
        <v>2922.5600000000004</v>
      </c>
    </row>
    <row r="17" spans="1:8" ht="15.75">
      <c r="A17" s="55">
        <v>12</v>
      </c>
      <c r="B17" s="56" t="s">
        <v>16</v>
      </c>
      <c r="C17" s="67">
        <v>326.78</v>
      </c>
      <c r="D17" s="72"/>
      <c r="E17" s="72"/>
      <c r="F17" s="72"/>
      <c r="G17" s="72">
        <v>150.73</v>
      </c>
      <c r="H17" s="69">
        <f t="shared" si="0"/>
        <v>477.51</v>
      </c>
    </row>
    <row r="18" spans="1:8" ht="15.75">
      <c r="A18" s="55">
        <v>13</v>
      </c>
      <c r="B18" s="56" t="s">
        <v>17</v>
      </c>
      <c r="C18" s="67">
        <v>653.56</v>
      </c>
      <c r="D18" s="72"/>
      <c r="E18" s="72"/>
      <c r="F18" s="72"/>
      <c r="G18" s="72">
        <f>1296.08+160.37+80.18</f>
        <v>1536.6299999999999</v>
      </c>
      <c r="H18" s="69">
        <f t="shared" si="0"/>
        <v>2190.1899999999996</v>
      </c>
    </row>
    <row r="19" spans="1:8" ht="15.75">
      <c r="A19" s="55">
        <v>14</v>
      </c>
      <c r="B19" s="56" t="s">
        <v>18</v>
      </c>
      <c r="C19" s="67"/>
      <c r="D19" s="72"/>
      <c r="E19" s="72"/>
      <c r="F19" s="72"/>
      <c r="G19" s="72"/>
      <c r="H19" s="69">
        <f t="shared" si="0"/>
        <v>0</v>
      </c>
    </row>
    <row r="20" spans="1:8" ht="15.75">
      <c r="A20" s="55">
        <v>15</v>
      </c>
      <c r="B20" s="56" t="s">
        <v>19</v>
      </c>
      <c r="C20" s="67"/>
      <c r="D20" s="72"/>
      <c r="E20" s="72"/>
      <c r="F20" s="72"/>
      <c r="G20" s="72"/>
      <c r="H20" s="69">
        <f t="shared" si="0"/>
        <v>0</v>
      </c>
    </row>
    <row r="21" spans="1:8" ht="15.75">
      <c r="A21" s="55">
        <v>16</v>
      </c>
      <c r="B21" s="56" t="s">
        <v>20</v>
      </c>
      <c r="C21" s="67">
        <v>326.78</v>
      </c>
      <c r="D21" s="72"/>
      <c r="E21" s="72"/>
      <c r="F21" s="72"/>
      <c r="G21" s="72"/>
      <c r="H21" s="69">
        <f t="shared" si="0"/>
        <v>326.78</v>
      </c>
    </row>
    <row r="22" spans="1:8" ht="15.75">
      <c r="A22" s="55">
        <v>17</v>
      </c>
      <c r="B22" s="56" t="s">
        <v>21</v>
      </c>
      <c r="C22" s="67">
        <v>326.78</v>
      </c>
      <c r="D22" s="72"/>
      <c r="E22" s="72"/>
      <c r="F22" s="72"/>
      <c r="G22" s="72">
        <v>150.73</v>
      </c>
      <c r="H22" s="69">
        <f t="shared" si="0"/>
        <v>477.51</v>
      </c>
    </row>
    <row r="23" spans="1:8" ht="15.75">
      <c r="A23" s="55">
        <v>18</v>
      </c>
      <c r="B23" s="56" t="s">
        <v>22</v>
      </c>
      <c r="C23" s="67">
        <f>326.78+326.77</f>
        <v>653.55</v>
      </c>
      <c r="D23" s="72"/>
      <c r="E23" s="72"/>
      <c r="F23" s="72"/>
      <c r="G23" s="72">
        <f>279.59+100.48+320.73</f>
        <v>700.8</v>
      </c>
      <c r="H23" s="69">
        <f t="shared" si="0"/>
        <v>1354.35</v>
      </c>
    </row>
    <row r="24" spans="1:8" ht="15.75">
      <c r="A24" s="55">
        <v>19</v>
      </c>
      <c r="B24" s="56" t="s">
        <v>23</v>
      </c>
      <c r="C24" s="67"/>
      <c r="D24" s="72"/>
      <c r="E24" s="72"/>
      <c r="F24" s="72"/>
      <c r="G24" s="72"/>
      <c r="H24" s="69">
        <f t="shared" si="0"/>
        <v>0</v>
      </c>
    </row>
    <row r="25" spans="1:8" ht="15.75">
      <c r="A25" s="55">
        <v>20</v>
      </c>
      <c r="B25" s="56" t="s">
        <v>24</v>
      </c>
      <c r="C25" s="67"/>
      <c r="D25" s="72"/>
      <c r="E25" s="72"/>
      <c r="F25" s="72"/>
      <c r="G25" s="72"/>
      <c r="H25" s="69">
        <f t="shared" si="0"/>
        <v>0</v>
      </c>
    </row>
    <row r="26" spans="1:8" ht="15.75">
      <c r="A26" s="55">
        <v>21</v>
      </c>
      <c r="B26" s="56" t="s">
        <v>25</v>
      </c>
      <c r="C26" s="67">
        <v>326.77</v>
      </c>
      <c r="D26" s="72"/>
      <c r="E26" s="72"/>
      <c r="F26" s="72"/>
      <c r="G26" s="72">
        <f>160.36+292.02+464.66+160.77</f>
        <v>1077.81</v>
      </c>
      <c r="H26" s="69">
        <f t="shared" si="0"/>
        <v>1404.58</v>
      </c>
    </row>
    <row r="27" spans="1:8" ht="15.75">
      <c r="A27" s="55">
        <v>22</v>
      </c>
      <c r="B27" s="56" t="s">
        <v>26</v>
      </c>
      <c r="C27" s="67"/>
      <c r="D27" s="72"/>
      <c r="E27" s="72"/>
      <c r="F27" s="72"/>
      <c r="G27" s="72"/>
      <c r="H27" s="69">
        <f t="shared" si="0"/>
        <v>0</v>
      </c>
    </row>
    <row r="28" spans="1:8" ht="15.75">
      <c r="A28" s="55">
        <v>23</v>
      </c>
      <c r="B28" s="56" t="s">
        <v>27</v>
      </c>
      <c r="C28" s="67"/>
      <c r="D28" s="72"/>
      <c r="E28" s="72"/>
      <c r="F28" s="72"/>
      <c r="G28" s="72"/>
      <c r="H28" s="69">
        <f t="shared" si="0"/>
        <v>0</v>
      </c>
    </row>
    <row r="29" spans="1:8" ht="15.75">
      <c r="A29" s="55">
        <v>24</v>
      </c>
      <c r="B29" s="56" t="s">
        <v>28</v>
      </c>
      <c r="C29" s="67"/>
      <c r="D29" s="72"/>
      <c r="E29" s="72"/>
      <c r="F29" s="72"/>
      <c r="G29" s="72">
        <v>141.31</v>
      </c>
      <c r="H29" s="69">
        <f t="shared" si="0"/>
        <v>141.31</v>
      </c>
    </row>
    <row r="30" spans="1:8" ht="15.75">
      <c r="A30" s="55">
        <v>25</v>
      </c>
      <c r="B30" s="56" t="s">
        <v>29</v>
      </c>
      <c r="C30" s="67">
        <v>980.34</v>
      </c>
      <c r="D30" s="72">
        <v>692.76</v>
      </c>
      <c r="E30" s="72"/>
      <c r="F30" s="72">
        <v>15443.1</v>
      </c>
      <c r="G30" s="72">
        <f>451.78+224.8+455.27</f>
        <v>1131.85</v>
      </c>
      <c r="H30" s="69">
        <f t="shared" si="0"/>
        <v>18248.05</v>
      </c>
    </row>
    <row r="31" spans="1:8" ht="15.75">
      <c r="A31" s="55">
        <v>26</v>
      </c>
      <c r="B31" s="56" t="s">
        <v>30</v>
      </c>
      <c r="C31" s="67">
        <v>326.78</v>
      </c>
      <c r="D31" s="72">
        <v>646.58</v>
      </c>
      <c r="E31" s="72"/>
      <c r="F31" s="72"/>
      <c r="G31" s="72">
        <v>924.1</v>
      </c>
      <c r="H31" s="69">
        <f t="shared" si="0"/>
        <v>1897.46</v>
      </c>
    </row>
    <row r="32" spans="1:8" ht="15.75">
      <c r="A32" s="55">
        <v>27</v>
      </c>
      <c r="B32" s="56" t="s">
        <v>40</v>
      </c>
      <c r="C32" s="67"/>
      <c r="D32" s="72"/>
      <c r="E32" s="72"/>
      <c r="F32" s="72"/>
      <c r="G32" s="72"/>
      <c r="H32" s="69">
        <f t="shared" si="0"/>
        <v>0</v>
      </c>
    </row>
    <row r="33" spans="1:8" ht="15.75">
      <c r="A33" s="55">
        <v>28</v>
      </c>
      <c r="B33" s="56" t="s">
        <v>41</v>
      </c>
      <c r="C33" s="67">
        <v>326.78</v>
      </c>
      <c r="D33" s="72">
        <v>646.58</v>
      </c>
      <c r="E33" s="72"/>
      <c r="F33" s="72"/>
      <c r="G33" s="72">
        <v>150.73</v>
      </c>
      <c r="H33" s="69">
        <f t="shared" si="0"/>
        <v>1124.09</v>
      </c>
    </row>
    <row r="34" spans="1:8" ht="15.75">
      <c r="A34" s="55">
        <v>29</v>
      </c>
      <c r="B34" s="56" t="s">
        <v>42</v>
      </c>
      <c r="C34" s="67">
        <v>1633.9</v>
      </c>
      <c r="D34" s="72"/>
      <c r="E34" s="72"/>
      <c r="F34" s="72"/>
      <c r="G34" s="72">
        <v>320.73</v>
      </c>
      <c r="H34" s="69">
        <f t="shared" si="0"/>
        <v>1954.63</v>
      </c>
    </row>
    <row r="35" spans="1:8" ht="15.75">
      <c r="A35" s="55">
        <v>30</v>
      </c>
      <c r="B35" s="56" t="s">
        <v>44</v>
      </c>
      <c r="C35" s="67">
        <v>326.78</v>
      </c>
      <c r="D35" s="72"/>
      <c r="E35" s="72"/>
      <c r="F35" s="72"/>
      <c r="G35" s="72">
        <v>311.1</v>
      </c>
      <c r="H35" s="69">
        <f t="shared" si="0"/>
        <v>637.88</v>
      </c>
    </row>
    <row r="36" spans="1:8" ht="15.75">
      <c r="A36" s="55">
        <v>31</v>
      </c>
      <c r="B36" s="56" t="s">
        <v>45</v>
      </c>
      <c r="C36" s="67"/>
      <c r="D36" s="72"/>
      <c r="E36" s="72"/>
      <c r="F36" s="72"/>
      <c r="G36" s="72"/>
      <c r="H36" s="69">
        <f t="shared" si="0"/>
        <v>0</v>
      </c>
    </row>
    <row r="37" spans="1:8" ht="15.75">
      <c r="A37" s="55">
        <v>32</v>
      </c>
      <c r="B37" s="56" t="s">
        <v>47</v>
      </c>
      <c r="C37" s="67">
        <v>326.78</v>
      </c>
      <c r="D37" s="72"/>
      <c r="E37" s="72"/>
      <c r="F37" s="72"/>
      <c r="G37" s="72">
        <v>405.41</v>
      </c>
      <c r="H37" s="69">
        <f t="shared" si="0"/>
        <v>732.19</v>
      </c>
    </row>
    <row r="38" spans="1:8" ht="15.75">
      <c r="A38" s="55">
        <v>33</v>
      </c>
      <c r="B38" s="56" t="s">
        <v>60</v>
      </c>
      <c r="C38" s="67">
        <v>653.56</v>
      </c>
      <c r="D38" s="72"/>
      <c r="E38" s="72"/>
      <c r="F38" s="72"/>
      <c r="G38" s="72"/>
      <c r="H38" s="69">
        <f t="shared" si="0"/>
        <v>653.56</v>
      </c>
    </row>
    <row r="39" spans="1:8" ht="15.75">
      <c r="A39" s="55">
        <v>34</v>
      </c>
      <c r="B39" s="56" t="s">
        <v>61</v>
      </c>
      <c r="C39" s="67"/>
      <c r="D39" s="72"/>
      <c r="E39" s="72"/>
      <c r="F39" s="72"/>
      <c r="G39" s="72">
        <v>320.73</v>
      </c>
      <c r="H39" s="69">
        <f t="shared" si="0"/>
        <v>320.73</v>
      </c>
    </row>
    <row r="40" spans="1:8" ht="15.75">
      <c r="A40" s="55">
        <v>35</v>
      </c>
      <c r="B40" s="56" t="s">
        <v>71</v>
      </c>
      <c r="C40" s="67">
        <v>653.56</v>
      </c>
      <c r="D40" s="72"/>
      <c r="E40" s="72"/>
      <c r="F40" s="72"/>
      <c r="G40" s="72">
        <v>68.73</v>
      </c>
      <c r="H40" s="69">
        <f t="shared" si="0"/>
        <v>722.29</v>
      </c>
    </row>
    <row r="41" spans="1:8" ht="15.75">
      <c r="A41" s="57"/>
      <c r="B41" s="57" t="s">
        <v>31</v>
      </c>
      <c r="C41" s="68">
        <f>SUM(C6:C40)</f>
        <v>14705.08</v>
      </c>
      <c r="D41" s="68">
        <f>SUM(D6:D40)</f>
        <v>9537.34</v>
      </c>
      <c r="E41" s="68">
        <f>SUM(E6:E40)</f>
        <v>2296.9</v>
      </c>
      <c r="F41" s="68">
        <f>SUM(F6:F40)</f>
        <v>15443.1</v>
      </c>
      <c r="G41" s="68">
        <f>SUM(G6:G40)</f>
        <v>18241.539999999994</v>
      </c>
      <c r="H41" s="69">
        <f t="shared" si="0"/>
        <v>60223.95999999999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D6" sqref="D6:D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91</v>
      </c>
      <c r="B3" s="61"/>
      <c r="C3" s="61"/>
      <c r="D3" s="61"/>
      <c r="E3" s="61"/>
      <c r="F3" s="61"/>
    </row>
    <row r="4" spans="1:6" ht="14.25">
      <c r="A4" s="81"/>
      <c r="B4" s="81"/>
      <c r="C4" s="81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>
        <v>6718.82</v>
      </c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6730.16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3431.32</v>
      </c>
      <c r="D18" s="67">
        <v>13291.6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>
        <v>12072.46</v>
      </c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/>
      <c r="D26" s="67"/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/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5">
        <v>35</v>
      </c>
      <c r="B40" s="56" t="s">
        <v>71</v>
      </c>
      <c r="C40" s="67"/>
      <c r="D40" s="67"/>
    </row>
    <row r="41" spans="1:4" ht="15.75">
      <c r="A41" s="57"/>
      <c r="B41" s="57" t="s">
        <v>31</v>
      </c>
      <c r="C41" s="68">
        <f>SUM(C6:C40)</f>
        <v>10161.48</v>
      </c>
      <c r="D41" s="68">
        <f>SUM(D6:D40)</f>
        <v>32082.879999999997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workbookViewId="0" topLeftCell="A4">
      <selection activeCell="C7" sqref="C7:C41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5" t="s">
        <v>82</v>
      </c>
      <c r="B3" s="75"/>
      <c r="C3" s="75"/>
      <c r="D3" s="75"/>
      <c r="E3" s="75"/>
      <c r="F3" s="75"/>
      <c r="G3" s="76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5697.65</v>
      </c>
      <c r="D7" s="44">
        <v>4558.38</v>
      </c>
      <c r="E7" s="45">
        <f>C7+D7</f>
        <v>10256.029999999999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2757.41</v>
      </c>
      <c r="D8" s="6">
        <v>2206.11</v>
      </c>
      <c r="E8" s="45">
        <f aca="true" t="shared" si="0" ref="E8:E42">C8+D8</f>
        <v>4963.52</v>
      </c>
      <c r="F8" s="36"/>
      <c r="H8" s="3"/>
    </row>
    <row r="9" spans="1:8" ht="15.75">
      <c r="A9" s="55">
        <v>3</v>
      </c>
      <c r="B9" s="56" t="s">
        <v>8</v>
      </c>
      <c r="C9" s="1">
        <v>2569.78</v>
      </c>
      <c r="D9" s="6">
        <v>2055.91</v>
      </c>
      <c r="E9" s="45">
        <f t="shared" si="0"/>
        <v>4625.6900000000005</v>
      </c>
      <c r="F9" s="36"/>
      <c r="H9" s="3"/>
    </row>
    <row r="10" spans="1:8" ht="15.75">
      <c r="A10" s="55">
        <v>4</v>
      </c>
      <c r="B10" s="56" t="s">
        <v>9</v>
      </c>
      <c r="C10" s="6">
        <v>4325.72</v>
      </c>
      <c r="D10" s="6">
        <v>3460.46</v>
      </c>
      <c r="E10" s="45">
        <f t="shared" si="0"/>
        <v>7786.18</v>
      </c>
      <c r="F10" s="36"/>
      <c r="H10" s="3"/>
    </row>
    <row r="11" spans="1:8" ht="15.75">
      <c r="A11" s="55">
        <v>5</v>
      </c>
      <c r="B11" s="56" t="s">
        <v>10</v>
      </c>
      <c r="C11" s="6">
        <v>1655.49</v>
      </c>
      <c r="D11" s="6">
        <v>1324.46</v>
      </c>
      <c r="E11" s="45">
        <f t="shared" si="0"/>
        <v>2979.95</v>
      </c>
      <c r="F11" s="36"/>
      <c r="H11" s="3"/>
    </row>
    <row r="12" spans="1:8" ht="15.75">
      <c r="A12" s="55">
        <v>6</v>
      </c>
      <c r="B12" s="56" t="s">
        <v>11</v>
      </c>
      <c r="C12" s="6">
        <v>5031.47</v>
      </c>
      <c r="D12" s="6">
        <v>4025.28</v>
      </c>
      <c r="E12" s="45">
        <f t="shared" si="0"/>
        <v>9056.75</v>
      </c>
      <c r="F12" s="36"/>
      <c r="H12" s="3"/>
    </row>
    <row r="13" spans="1:8" ht="15.75">
      <c r="A13" s="55">
        <v>7</v>
      </c>
      <c r="B13" s="56" t="s">
        <v>59</v>
      </c>
      <c r="C13" s="6">
        <v>8174.88</v>
      </c>
      <c r="D13" s="6">
        <v>6540.63</v>
      </c>
      <c r="E13" s="45">
        <f t="shared" si="0"/>
        <v>14715.51</v>
      </c>
      <c r="F13" s="36"/>
      <c r="H13" s="3"/>
    </row>
    <row r="14" spans="1:8" ht="15.75">
      <c r="A14" s="55">
        <v>8</v>
      </c>
      <c r="B14" s="56" t="s">
        <v>12</v>
      </c>
      <c r="C14" s="6">
        <v>295.33</v>
      </c>
      <c r="D14" s="6">
        <v>236.29</v>
      </c>
      <c r="E14" s="45">
        <f t="shared" si="0"/>
        <v>531.62</v>
      </c>
      <c r="F14" s="36"/>
      <c r="H14" s="3"/>
    </row>
    <row r="15" spans="1:8" ht="15.75">
      <c r="A15" s="55">
        <v>9</v>
      </c>
      <c r="B15" s="56" t="s">
        <v>13</v>
      </c>
      <c r="C15" s="6">
        <v>1753.7</v>
      </c>
      <c r="D15" s="6">
        <v>1402.93</v>
      </c>
      <c r="E15" s="45">
        <f t="shared" si="0"/>
        <v>3156.63</v>
      </c>
      <c r="F15" s="36"/>
      <c r="H15" s="3"/>
    </row>
    <row r="16" spans="1:8" ht="15.75">
      <c r="A16" s="55">
        <v>10</v>
      </c>
      <c r="B16" s="56" t="s">
        <v>14</v>
      </c>
      <c r="C16" s="6">
        <v>8593.47</v>
      </c>
      <c r="D16" s="6">
        <v>6875.32</v>
      </c>
      <c r="E16" s="45">
        <f t="shared" si="0"/>
        <v>15468.789999999999</v>
      </c>
      <c r="F16" s="36"/>
      <c r="H16" s="3"/>
    </row>
    <row r="17" spans="1:8" ht="15.75">
      <c r="A17" s="55">
        <v>11</v>
      </c>
      <c r="B17" s="56" t="s">
        <v>15</v>
      </c>
      <c r="C17" s="6">
        <v>4957.1</v>
      </c>
      <c r="D17" s="6">
        <v>3965.68</v>
      </c>
      <c r="E17" s="45">
        <f t="shared" si="0"/>
        <v>8922.78</v>
      </c>
      <c r="F17" s="36"/>
      <c r="H17" s="3"/>
    </row>
    <row r="18" spans="1:8" ht="15.75">
      <c r="A18" s="55">
        <v>12</v>
      </c>
      <c r="B18" s="56" t="s">
        <v>16</v>
      </c>
      <c r="C18" s="6">
        <v>787.18</v>
      </c>
      <c r="D18" s="6">
        <v>629.83</v>
      </c>
      <c r="E18" s="45">
        <f t="shared" si="0"/>
        <v>1417.01</v>
      </c>
      <c r="F18" s="36"/>
      <c r="H18" s="3"/>
    </row>
    <row r="19" spans="1:8" ht="15.75">
      <c r="A19" s="55">
        <v>13</v>
      </c>
      <c r="B19" s="56" t="s">
        <v>17</v>
      </c>
      <c r="C19" s="6">
        <v>4042.35</v>
      </c>
      <c r="D19" s="6">
        <v>3234.14</v>
      </c>
      <c r="E19" s="45">
        <f t="shared" si="0"/>
        <v>7276.49</v>
      </c>
      <c r="F19" s="36"/>
      <c r="H19" s="3"/>
    </row>
    <row r="20" spans="1:8" ht="15.75">
      <c r="A20" s="55">
        <v>14</v>
      </c>
      <c r="B20" s="56" t="s">
        <v>18</v>
      </c>
      <c r="C20" s="6">
        <v>4058.71</v>
      </c>
      <c r="D20" s="6">
        <v>3246.82</v>
      </c>
      <c r="E20" s="45">
        <f t="shared" si="0"/>
        <v>7305.530000000001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>
        <v>0</v>
      </c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1057.81</v>
      </c>
      <c r="D22" s="6">
        <v>846.29</v>
      </c>
      <c r="E22" s="45">
        <f t="shared" si="0"/>
        <v>1904.1</v>
      </c>
      <c r="F22" s="36"/>
      <c r="H22" s="3"/>
    </row>
    <row r="23" spans="1:8" ht="15.75">
      <c r="A23" s="55">
        <v>17</v>
      </c>
      <c r="B23" s="56" t="s">
        <v>21</v>
      </c>
      <c r="C23" s="6">
        <v>2600.69</v>
      </c>
      <c r="D23" s="6">
        <v>2080.62</v>
      </c>
      <c r="E23" s="45">
        <f t="shared" si="0"/>
        <v>4681.3099999999995</v>
      </c>
      <c r="F23" s="36"/>
      <c r="H23" s="3"/>
    </row>
    <row r="24" spans="1:8" ht="15.75">
      <c r="A24" s="55">
        <v>18</v>
      </c>
      <c r="B24" s="56" t="s">
        <v>22</v>
      </c>
      <c r="C24" s="6">
        <v>5772.9</v>
      </c>
      <c r="D24" s="6">
        <v>4619.07</v>
      </c>
      <c r="E24" s="45">
        <f t="shared" si="0"/>
        <v>10391.97</v>
      </c>
      <c r="F24" s="36"/>
      <c r="H24" s="3"/>
    </row>
    <row r="25" spans="1:8" ht="15.75">
      <c r="A25" s="55">
        <v>19</v>
      </c>
      <c r="B25" s="56" t="s">
        <v>23</v>
      </c>
      <c r="C25" s="6">
        <v>589.78</v>
      </c>
      <c r="D25" s="6">
        <v>471.9</v>
      </c>
      <c r="E25" s="45">
        <f t="shared" si="0"/>
        <v>1061.6799999999998</v>
      </c>
      <c r="F25" s="36"/>
      <c r="H25" s="3"/>
    </row>
    <row r="26" spans="1:8" ht="15.75">
      <c r="A26" s="55">
        <v>20</v>
      </c>
      <c r="B26" s="56" t="s">
        <v>24</v>
      </c>
      <c r="C26" s="6">
        <v>1520.11</v>
      </c>
      <c r="D26" s="6">
        <v>1216.07</v>
      </c>
      <c r="E26" s="45">
        <f t="shared" si="0"/>
        <v>2736.18</v>
      </c>
      <c r="F26" s="36"/>
      <c r="H26" s="3"/>
    </row>
    <row r="27" spans="1:8" ht="15.75">
      <c r="A27" s="55">
        <v>21</v>
      </c>
      <c r="B27" s="56" t="s">
        <v>25</v>
      </c>
      <c r="C27" s="6">
        <v>3933.68</v>
      </c>
      <c r="D27" s="6">
        <v>3147.87</v>
      </c>
      <c r="E27" s="45">
        <f t="shared" si="0"/>
        <v>7081.549999999999</v>
      </c>
      <c r="F27" s="36"/>
      <c r="H27" s="3"/>
    </row>
    <row r="28" spans="1:8" ht="15.75">
      <c r="A28" s="55">
        <v>22</v>
      </c>
      <c r="B28" s="56" t="s">
        <v>26</v>
      </c>
      <c r="C28" s="6">
        <v>226.38</v>
      </c>
      <c r="D28" s="6">
        <v>181.1</v>
      </c>
      <c r="E28" s="45">
        <f t="shared" si="0"/>
        <v>407.48</v>
      </c>
      <c r="F28" s="36"/>
      <c r="H28" s="3"/>
    </row>
    <row r="29" spans="1:8" ht="15.75">
      <c r="A29" s="55">
        <v>23</v>
      </c>
      <c r="B29" s="56" t="s">
        <v>27</v>
      </c>
      <c r="C29" s="6">
        <v>1189.01</v>
      </c>
      <c r="D29" s="6">
        <v>951.22</v>
      </c>
      <c r="E29" s="45">
        <f t="shared" si="0"/>
        <v>2140.23</v>
      </c>
      <c r="F29" s="36"/>
      <c r="H29" s="3"/>
    </row>
    <row r="30" spans="1:8" ht="15.75">
      <c r="A30" s="55">
        <v>24</v>
      </c>
      <c r="B30" s="56" t="s">
        <v>28</v>
      </c>
      <c r="C30" s="6">
        <v>2318.35</v>
      </c>
      <c r="D30" s="6">
        <v>1854.4</v>
      </c>
      <c r="E30" s="45">
        <f t="shared" si="0"/>
        <v>4172.75</v>
      </c>
      <c r="F30" s="36"/>
      <c r="H30" s="3"/>
    </row>
    <row r="31" spans="1:8" ht="15.75">
      <c r="A31" s="55">
        <v>25</v>
      </c>
      <c r="B31" s="56" t="s">
        <v>29</v>
      </c>
      <c r="C31" s="6">
        <v>6878.5</v>
      </c>
      <c r="D31" s="6">
        <v>5502.99</v>
      </c>
      <c r="E31" s="45">
        <f t="shared" si="0"/>
        <v>12381.49</v>
      </c>
      <c r="F31" s="36"/>
      <c r="H31" s="3"/>
    </row>
    <row r="32" spans="1:8" ht="15.75">
      <c r="A32" s="55">
        <v>26</v>
      </c>
      <c r="B32" s="56" t="s">
        <v>30</v>
      </c>
      <c r="C32" s="6">
        <v>9430.13</v>
      </c>
      <c r="D32" s="6">
        <v>7544.25</v>
      </c>
      <c r="E32" s="45">
        <f t="shared" si="0"/>
        <v>16974.379999999997</v>
      </c>
      <c r="F32" s="36"/>
      <c r="H32" s="3"/>
    </row>
    <row r="33" spans="1:8" ht="15.75">
      <c r="A33" s="55">
        <v>27</v>
      </c>
      <c r="B33" s="56" t="s">
        <v>40</v>
      </c>
      <c r="C33" s="6">
        <v>595.33</v>
      </c>
      <c r="D33" s="6">
        <v>476.31</v>
      </c>
      <c r="E33" s="45">
        <f t="shared" si="0"/>
        <v>1071.64</v>
      </c>
      <c r="F33" s="36"/>
      <c r="H33" s="3"/>
    </row>
    <row r="34" spans="1:8" ht="15.75">
      <c r="A34" s="55">
        <v>28</v>
      </c>
      <c r="B34" s="56" t="s">
        <v>41</v>
      </c>
      <c r="C34" s="6">
        <v>5333.89</v>
      </c>
      <c r="D34" s="6">
        <v>4267.58</v>
      </c>
      <c r="E34" s="45">
        <f t="shared" si="0"/>
        <v>9601.470000000001</v>
      </c>
      <c r="F34" s="36"/>
      <c r="H34" s="3"/>
    </row>
    <row r="35" spans="1:8" ht="15.75">
      <c r="A35" s="55">
        <v>29</v>
      </c>
      <c r="B35" s="56" t="s">
        <v>42</v>
      </c>
      <c r="C35" s="6">
        <v>5280.73</v>
      </c>
      <c r="D35" s="6">
        <v>4224.86</v>
      </c>
      <c r="E35" s="45">
        <f t="shared" si="0"/>
        <v>9505.59</v>
      </c>
      <c r="F35" s="36"/>
      <c r="H35" s="3"/>
    </row>
    <row r="36" spans="1:8" ht="15.75">
      <c r="A36" s="55">
        <v>30</v>
      </c>
      <c r="B36" s="56" t="s">
        <v>44</v>
      </c>
      <c r="C36" s="6">
        <v>1744.76</v>
      </c>
      <c r="D36" s="6">
        <v>1395.87</v>
      </c>
      <c r="E36" s="45">
        <f t="shared" si="0"/>
        <v>3140.63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>
        <v>0</v>
      </c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1917.7</v>
      </c>
      <c r="D38" s="6">
        <v>1534.18</v>
      </c>
      <c r="E38" s="45">
        <f t="shared" si="0"/>
        <v>3451.88</v>
      </c>
      <c r="F38" s="36"/>
      <c r="H38" s="3"/>
    </row>
    <row r="39" spans="1:8" ht="15.75">
      <c r="A39" s="55">
        <v>33</v>
      </c>
      <c r="B39" s="56" t="s">
        <v>60</v>
      </c>
      <c r="C39" s="6">
        <v>203.24</v>
      </c>
      <c r="D39" s="6">
        <v>162.62</v>
      </c>
      <c r="E39" s="45">
        <f t="shared" si="0"/>
        <v>365.86</v>
      </c>
      <c r="F39" s="36"/>
      <c r="H39" s="3"/>
    </row>
    <row r="40" spans="1:8" ht="15.75">
      <c r="A40" s="55">
        <v>34</v>
      </c>
      <c r="B40" s="56" t="s">
        <v>61</v>
      </c>
      <c r="C40" s="6">
        <v>1375.39</v>
      </c>
      <c r="D40" s="6">
        <v>1100.34</v>
      </c>
      <c r="E40" s="45">
        <f t="shared" si="0"/>
        <v>2475.73</v>
      </c>
      <c r="F40" s="36"/>
      <c r="H40" s="3"/>
    </row>
    <row r="41" spans="1:8" ht="15.75">
      <c r="A41" s="55">
        <v>35</v>
      </c>
      <c r="B41" s="56" t="s">
        <v>71</v>
      </c>
      <c r="C41" s="6">
        <v>134.9</v>
      </c>
      <c r="D41" s="6">
        <v>107.93</v>
      </c>
      <c r="E41" s="45">
        <f t="shared" si="0"/>
        <v>242.83</v>
      </c>
      <c r="F41" s="36"/>
      <c r="H41" s="3"/>
    </row>
    <row r="42" spans="1:8" ht="15.75">
      <c r="A42" s="57"/>
      <c r="B42" s="57" t="s">
        <v>31</v>
      </c>
      <c r="C42" s="69">
        <f>SUM(C7:C41)</f>
        <v>106803.51999999999</v>
      </c>
      <c r="D42" s="69">
        <f>SUM(D7:D41)</f>
        <v>85447.70999999998</v>
      </c>
      <c r="E42" s="45">
        <f t="shared" si="0"/>
        <v>192251.22999999998</v>
      </c>
      <c r="F42" s="36"/>
      <c r="H42" s="3"/>
    </row>
    <row r="44" ht="12.75">
      <c r="D44" s="3"/>
    </row>
    <row r="45" spans="3:5" ht="12.75">
      <c r="C45" s="3"/>
      <c r="E45" s="3"/>
    </row>
    <row r="46" spans="4:5" ht="12.75">
      <c r="D46" s="3"/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4">
      <selection activeCell="C31" sqref="C31"/>
    </sheetView>
  </sheetViews>
  <sheetFormatPr defaultColWidth="9.140625" defaultRowHeight="12.75"/>
  <cols>
    <col min="1" max="1" width="31.28125" style="0" bestFit="1" customWidth="1"/>
    <col min="2" max="2" width="8.7109375" style="0" bestFit="1" customWidth="1"/>
    <col min="3" max="3" width="10.140625" style="0" bestFit="1" customWidth="1"/>
    <col min="4" max="4" width="12.28125" style="0" customWidth="1"/>
    <col min="6" max="6" width="12.7109375" style="0" customWidth="1"/>
  </cols>
  <sheetData>
    <row r="2" spans="1:10" ht="15" customHeight="1">
      <c r="A2" s="77" t="s">
        <v>79</v>
      </c>
      <c r="B2" s="78"/>
      <c r="C2" s="78"/>
      <c r="D2" s="78"/>
      <c r="E2" s="78"/>
      <c r="F2" s="78"/>
      <c r="G2" s="78"/>
      <c r="H2" s="78"/>
      <c r="I2" s="76"/>
      <c r="J2" s="76"/>
    </row>
    <row r="3" spans="1:5" ht="15">
      <c r="A3" s="35"/>
      <c r="B3" s="35"/>
      <c r="C3" s="34"/>
      <c r="D3" s="34"/>
      <c r="E3" s="34"/>
    </row>
    <row r="4" spans="1:5" ht="15" thickBot="1">
      <c r="A4" s="36"/>
      <c r="B4" s="37"/>
      <c r="C4" s="36"/>
      <c r="D4" s="38"/>
      <c r="E4" s="36"/>
    </row>
    <row r="5" spans="1:5" ht="60.75" thickBot="1">
      <c r="A5" s="51" t="s">
        <v>1</v>
      </c>
      <c r="B5" s="46" t="s">
        <v>32</v>
      </c>
      <c r="C5" s="46" t="s">
        <v>33</v>
      </c>
      <c r="D5" s="47" t="s">
        <v>78</v>
      </c>
      <c r="E5" s="36"/>
    </row>
    <row r="6" spans="1:5" ht="15.75">
      <c r="A6" s="56" t="s">
        <v>6</v>
      </c>
      <c r="B6" s="44"/>
      <c r="C6" s="44"/>
      <c r="D6" s="45">
        <f>B6+C6</f>
        <v>0</v>
      </c>
      <c r="E6" s="36"/>
    </row>
    <row r="7" spans="1:5" ht="15.75">
      <c r="A7" s="56" t="s">
        <v>7</v>
      </c>
      <c r="B7" s="6"/>
      <c r="C7" s="6"/>
      <c r="D7" s="45">
        <f aca="true" t="shared" si="0" ref="D7:D41">B7+C7</f>
        <v>0</v>
      </c>
      <c r="E7" s="36"/>
    </row>
    <row r="8" spans="1:5" ht="15.75">
      <c r="A8" s="56" t="s">
        <v>8</v>
      </c>
      <c r="B8" s="1"/>
      <c r="C8" s="6"/>
      <c r="D8" s="45">
        <f t="shared" si="0"/>
        <v>0</v>
      </c>
      <c r="E8" s="36"/>
    </row>
    <row r="9" spans="1:5" ht="15.75">
      <c r="A9" s="56" t="s">
        <v>9</v>
      </c>
      <c r="B9" s="6"/>
      <c r="C9" s="6"/>
      <c r="D9" s="45">
        <f t="shared" si="0"/>
        <v>0</v>
      </c>
      <c r="E9" s="36"/>
    </row>
    <row r="10" spans="1:5" ht="15.75">
      <c r="A10" s="56" t="s">
        <v>10</v>
      </c>
      <c r="B10" s="6"/>
      <c r="C10" s="6"/>
      <c r="D10" s="45">
        <f t="shared" si="0"/>
        <v>0</v>
      </c>
      <c r="E10" s="36"/>
    </row>
    <row r="11" spans="1:5" ht="15.75">
      <c r="A11" s="56" t="s">
        <v>11</v>
      </c>
      <c r="B11" s="6"/>
      <c r="C11" s="6"/>
      <c r="D11" s="45">
        <f t="shared" si="0"/>
        <v>0</v>
      </c>
      <c r="E11" s="36"/>
    </row>
    <row r="12" spans="1:5" ht="15.75">
      <c r="A12" s="56" t="s">
        <v>59</v>
      </c>
      <c r="B12" s="6"/>
      <c r="C12" s="6"/>
      <c r="D12" s="45">
        <f t="shared" si="0"/>
        <v>0</v>
      </c>
      <c r="E12" s="36"/>
    </row>
    <row r="13" spans="1:5" ht="15.75">
      <c r="A13" s="56" t="s">
        <v>12</v>
      </c>
      <c r="B13" s="6"/>
      <c r="C13" s="6"/>
      <c r="D13" s="45">
        <f t="shared" si="0"/>
        <v>0</v>
      </c>
      <c r="E13" s="36"/>
    </row>
    <row r="14" spans="1:5" ht="15.75">
      <c r="A14" s="56" t="s">
        <v>13</v>
      </c>
      <c r="B14" s="6"/>
      <c r="C14" s="6"/>
      <c r="D14" s="45">
        <f t="shared" si="0"/>
        <v>0</v>
      </c>
      <c r="E14" s="36"/>
    </row>
    <row r="15" spans="1:5" ht="15.75">
      <c r="A15" s="56" t="s">
        <v>14</v>
      </c>
      <c r="B15" s="6"/>
      <c r="C15" s="6"/>
      <c r="D15" s="45">
        <f t="shared" si="0"/>
        <v>0</v>
      </c>
      <c r="E15" s="36"/>
    </row>
    <row r="16" spans="1:5" ht="15.75">
      <c r="A16" s="56" t="s">
        <v>15</v>
      </c>
      <c r="B16" s="6"/>
      <c r="C16" s="6"/>
      <c r="D16" s="45">
        <f t="shared" si="0"/>
        <v>0</v>
      </c>
      <c r="E16" s="36"/>
    </row>
    <row r="17" spans="1:5" ht="15.75">
      <c r="A17" s="56" t="s">
        <v>16</v>
      </c>
      <c r="B17" s="6"/>
      <c r="C17" s="6"/>
      <c r="D17" s="45">
        <f t="shared" si="0"/>
        <v>0</v>
      </c>
      <c r="E17" s="36"/>
    </row>
    <row r="18" spans="1:5" ht="15.75">
      <c r="A18" s="56" t="s">
        <v>17</v>
      </c>
      <c r="B18" s="6"/>
      <c r="C18" s="6"/>
      <c r="D18" s="45">
        <f t="shared" si="0"/>
        <v>0</v>
      </c>
      <c r="E18" s="36"/>
    </row>
    <row r="19" spans="1:5" ht="15.75">
      <c r="A19" s="56" t="s">
        <v>18</v>
      </c>
      <c r="B19" s="6"/>
      <c r="C19" s="6"/>
      <c r="D19" s="45">
        <f t="shared" si="0"/>
        <v>0</v>
      </c>
      <c r="E19" s="36"/>
    </row>
    <row r="20" spans="1:5" ht="15.75">
      <c r="A20" s="56" t="s">
        <v>19</v>
      </c>
      <c r="B20" s="6"/>
      <c r="C20" s="6"/>
      <c r="D20" s="45">
        <f t="shared" si="0"/>
        <v>0</v>
      </c>
      <c r="E20" s="36"/>
    </row>
    <row r="21" spans="1:5" ht="15.75">
      <c r="A21" s="56" t="s">
        <v>20</v>
      </c>
      <c r="B21" s="6"/>
      <c r="C21" s="6"/>
      <c r="D21" s="45">
        <f t="shared" si="0"/>
        <v>0</v>
      </c>
      <c r="E21" s="36"/>
    </row>
    <row r="22" spans="1:5" ht="15.75">
      <c r="A22" s="56" t="s">
        <v>21</v>
      </c>
      <c r="B22" s="6"/>
      <c r="C22" s="6"/>
      <c r="D22" s="45">
        <f t="shared" si="0"/>
        <v>0</v>
      </c>
      <c r="E22" s="36"/>
    </row>
    <row r="23" spans="1:5" ht="15.75">
      <c r="A23" s="56" t="s">
        <v>22</v>
      </c>
      <c r="B23" s="6"/>
      <c r="C23" s="6"/>
      <c r="D23" s="45">
        <f t="shared" si="0"/>
        <v>0</v>
      </c>
      <c r="E23" s="36"/>
    </row>
    <row r="24" spans="1:5" ht="15.75">
      <c r="A24" s="56" t="s">
        <v>23</v>
      </c>
      <c r="B24" s="6"/>
      <c r="C24" s="6"/>
      <c r="D24" s="45">
        <f t="shared" si="0"/>
        <v>0</v>
      </c>
      <c r="E24" s="36"/>
    </row>
    <row r="25" spans="1:5" ht="15.75">
      <c r="A25" s="56" t="s">
        <v>24</v>
      </c>
      <c r="B25" s="6"/>
      <c r="C25" s="6"/>
      <c r="D25" s="45">
        <f t="shared" si="0"/>
        <v>0</v>
      </c>
      <c r="E25" s="36"/>
    </row>
    <row r="26" spans="1:5" ht="15.75">
      <c r="A26" s="56" t="s">
        <v>25</v>
      </c>
      <c r="B26" s="6"/>
      <c r="C26" s="6"/>
      <c r="D26" s="45">
        <f t="shared" si="0"/>
        <v>0</v>
      </c>
      <c r="E26" s="36"/>
    </row>
    <row r="27" spans="1:5" ht="15.75">
      <c r="A27" s="56" t="s">
        <v>26</v>
      </c>
      <c r="B27" s="6"/>
      <c r="C27" s="6"/>
      <c r="D27" s="45">
        <f t="shared" si="0"/>
        <v>0</v>
      </c>
      <c r="E27" s="36"/>
    </row>
    <row r="28" spans="1:5" ht="15.75">
      <c r="A28" s="56" t="s">
        <v>27</v>
      </c>
      <c r="B28" s="6"/>
      <c r="C28" s="6"/>
      <c r="D28" s="45">
        <f t="shared" si="0"/>
        <v>0</v>
      </c>
      <c r="E28" s="36"/>
    </row>
    <row r="29" spans="1:5" ht="15.75">
      <c r="A29" s="56" t="s">
        <v>28</v>
      </c>
      <c r="B29" s="6"/>
      <c r="C29" s="6"/>
      <c r="D29" s="45">
        <f t="shared" si="0"/>
        <v>0</v>
      </c>
      <c r="E29" s="36"/>
    </row>
    <row r="30" spans="1:5" ht="15.75">
      <c r="A30" s="56" t="s">
        <v>29</v>
      </c>
      <c r="B30" s="6">
        <v>292.04</v>
      </c>
      <c r="C30" s="6">
        <v>233.62</v>
      </c>
      <c r="D30" s="45">
        <f t="shared" si="0"/>
        <v>525.6600000000001</v>
      </c>
      <c r="E30" s="36"/>
    </row>
    <row r="31" spans="1:5" ht="15.75">
      <c r="A31" s="56" t="s">
        <v>30</v>
      </c>
      <c r="B31" s="6">
        <v>160.37</v>
      </c>
      <c r="C31" s="6">
        <v>128.29</v>
      </c>
      <c r="D31" s="45">
        <f t="shared" si="0"/>
        <v>288.65999999999997</v>
      </c>
      <c r="E31" s="36"/>
    </row>
    <row r="32" spans="1:5" ht="15.75">
      <c r="A32" s="56" t="s">
        <v>40</v>
      </c>
      <c r="B32" s="6"/>
      <c r="C32" s="6"/>
      <c r="D32" s="45">
        <f t="shared" si="0"/>
        <v>0</v>
      </c>
      <c r="E32" s="36"/>
    </row>
    <row r="33" spans="1:5" ht="15.75">
      <c r="A33" s="56" t="s">
        <v>41</v>
      </c>
      <c r="B33" s="6"/>
      <c r="C33" s="6"/>
      <c r="D33" s="45">
        <f t="shared" si="0"/>
        <v>0</v>
      </c>
      <c r="E33" s="36"/>
    </row>
    <row r="34" spans="1:5" ht="15.75">
      <c r="A34" s="56" t="s">
        <v>42</v>
      </c>
      <c r="B34" s="6"/>
      <c r="C34" s="6"/>
      <c r="D34" s="45">
        <f t="shared" si="0"/>
        <v>0</v>
      </c>
      <c r="E34" s="36"/>
    </row>
    <row r="35" spans="1:5" ht="15.75">
      <c r="A35" s="56" t="s">
        <v>44</v>
      </c>
      <c r="B35" s="6"/>
      <c r="C35" s="6"/>
      <c r="D35" s="45">
        <f t="shared" si="0"/>
        <v>0</v>
      </c>
      <c r="E35" s="36"/>
    </row>
    <row r="36" spans="1:5" ht="15.75">
      <c r="A36" s="56" t="s">
        <v>45</v>
      </c>
      <c r="B36" s="6"/>
      <c r="C36" s="6"/>
      <c r="D36" s="45">
        <f t="shared" si="0"/>
        <v>0</v>
      </c>
      <c r="E36" s="36"/>
    </row>
    <row r="37" spans="1:5" ht="15.75">
      <c r="A37" s="56" t="s">
        <v>47</v>
      </c>
      <c r="B37" s="6">
        <v>160.36</v>
      </c>
      <c r="C37" s="6">
        <v>128.29</v>
      </c>
      <c r="D37" s="45">
        <f t="shared" si="0"/>
        <v>288.65</v>
      </c>
      <c r="E37" s="36"/>
    </row>
    <row r="38" spans="1:5" ht="15.75">
      <c r="A38" s="56" t="s">
        <v>60</v>
      </c>
      <c r="B38" s="6"/>
      <c r="C38" s="6"/>
      <c r="D38" s="45">
        <f t="shared" si="0"/>
        <v>0</v>
      </c>
      <c r="E38" s="36"/>
    </row>
    <row r="39" spans="1:5" ht="15.75">
      <c r="A39" s="56" t="s">
        <v>61</v>
      </c>
      <c r="B39" s="6"/>
      <c r="C39" s="6"/>
      <c r="D39" s="45">
        <f t="shared" si="0"/>
        <v>0</v>
      </c>
      <c r="E39" s="36"/>
    </row>
    <row r="40" spans="1:5" ht="15.75">
      <c r="A40" s="56" t="s">
        <v>71</v>
      </c>
      <c r="B40" s="6"/>
      <c r="C40" s="6"/>
      <c r="D40" s="45">
        <f t="shared" si="0"/>
        <v>0</v>
      </c>
      <c r="E40" s="36"/>
    </row>
    <row r="41" spans="1:5" ht="15.75">
      <c r="A41" s="57" t="s">
        <v>31</v>
      </c>
      <c r="B41" s="69">
        <f>SUM(B6:B40)</f>
        <v>612.77</v>
      </c>
      <c r="C41" s="69">
        <f>SUM(C6:C40)</f>
        <v>490.19999999999993</v>
      </c>
      <c r="D41" s="45">
        <f t="shared" si="0"/>
        <v>1102.9699999999998</v>
      </c>
      <c r="E41" s="36"/>
    </row>
    <row r="44" spans="2:4" ht="12.75">
      <c r="B44" s="3"/>
      <c r="C44" s="3"/>
      <c r="D44" s="3"/>
    </row>
    <row r="45" spans="3:4" ht="12.75">
      <c r="C45" s="3"/>
      <c r="D45" s="3"/>
    </row>
    <row r="46" ht="12.75">
      <c r="D46" s="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0">
      <selection activeCell="J45" sqref="J45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9" t="s">
        <v>83</v>
      </c>
      <c r="B3" s="79"/>
      <c r="C3" s="79"/>
      <c r="D3" s="79"/>
      <c r="E3" s="79"/>
      <c r="F3" s="79"/>
      <c r="G3" s="79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0">
        <v>24444.59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0">
        <v>17233.24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0">
        <v>3708.18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0">
        <v>4740.88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0">
        <v>28445.32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0">
        <v>57534.84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0">
        <v>33090.31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0">
        <v>44846.23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0">
        <v>15845.41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0">
        <v>29790.54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0">
        <v>14193.15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0">
        <v>3250.6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0">
        <v>14457.72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0">
        <v>702.28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0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0">
        <v>1206.49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0">
        <v>9244.91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0">
        <v>23619.44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0">
        <v>463.02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0">
        <v>1028.71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0">
        <v>20798.47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0">
        <v>11325.75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0">
        <v>7834.96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0">
        <v>6908.71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0">
        <v>24442.77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0">
        <v>13169.06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0"/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0">
        <v>12249.08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0">
        <v>12364.9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0">
        <v>1301.1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0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0">
        <v>909.57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0">
        <v>115.72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0">
        <v>2676.96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70">
        <v>762.17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442705.08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spans="3:4" ht="12.75">
      <c r="C44" s="3"/>
      <c r="D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13">
      <selection activeCell="C29" sqref="C29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80" t="s">
        <v>84</v>
      </c>
      <c r="B4" s="80"/>
      <c r="C4" s="80"/>
      <c r="D4" s="80"/>
      <c r="E4" s="80"/>
      <c r="F4" s="80"/>
      <c r="G4" s="80"/>
      <c r="H4" s="80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15938.23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374.03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>
        <v>934.42</v>
      </c>
    </row>
    <row r="10" spans="1:3" ht="15.75">
      <c r="A10" s="55">
        <v>4</v>
      </c>
      <c r="B10" s="56" t="s">
        <v>9</v>
      </c>
      <c r="C10" s="67"/>
    </row>
    <row r="11" spans="1:3" ht="15.75">
      <c r="A11" s="55">
        <v>5</v>
      </c>
      <c r="B11" s="56" t="s">
        <v>10</v>
      </c>
      <c r="C11" s="67">
        <v>3576.23</v>
      </c>
    </row>
    <row r="12" spans="1:3" ht="15.75">
      <c r="A12" s="55">
        <v>6</v>
      </c>
      <c r="B12" s="56" t="s">
        <v>11</v>
      </c>
      <c r="C12" s="67">
        <v>9578.47</v>
      </c>
    </row>
    <row r="13" spans="1:3" ht="15.75">
      <c r="A13" s="55">
        <v>7</v>
      </c>
      <c r="B13" s="56" t="s">
        <v>59</v>
      </c>
      <c r="C13" s="67">
        <v>2268.56</v>
      </c>
    </row>
    <row r="14" spans="1:3" ht="15.75">
      <c r="A14" s="55">
        <v>8</v>
      </c>
      <c r="B14" s="56" t="s">
        <v>12</v>
      </c>
      <c r="C14" s="67">
        <v>18053.1</v>
      </c>
    </row>
    <row r="15" spans="1:3" ht="15.75">
      <c r="A15" s="55">
        <v>9</v>
      </c>
      <c r="B15" s="56" t="s">
        <v>13</v>
      </c>
      <c r="C15" s="67">
        <v>4701.5</v>
      </c>
    </row>
    <row r="16" spans="1:3" ht="15.75">
      <c r="A16" s="55">
        <v>10</v>
      </c>
      <c r="B16" s="56" t="s">
        <v>14</v>
      </c>
      <c r="C16" s="67">
        <v>14434.38</v>
      </c>
    </row>
    <row r="17" spans="1:3" ht="15.75">
      <c r="A17" s="55">
        <v>11</v>
      </c>
      <c r="B17" s="56" t="s">
        <v>15</v>
      </c>
      <c r="C17" s="67">
        <v>4763.3</v>
      </c>
    </row>
    <row r="18" spans="1:3" ht="15.75">
      <c r="A18" s="55">
        <v>12</v>
      </c>
      <c r="B18" s="56" t="s">
        <v>16</v>
      </c>
      <c r="C18" s="67">
        <v>2401.41</v>
      </c>
    </row>
    <row r="19" spans="1:3" ht="15.75">
      <c r="A19" s="55">
        <v>13</v>
      </c>
      <c r="B19" s="56" t="s">
        <v>17</v>
      </c>
      <c r="C19" s="67">
        <v>5896.76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/>
    </row>
    <row r="23" spans="1:3" ht="15.75">
      <c r="A23" s="55">
        <v>17</v>
      </c>
      <c r="B23" s="56" t="s">
        <v>21</v>
      </c>
      <c r="C23" s="67">
        <v>3679.78</v>
      </c>
    </row>
    <row r="24" spans="1:3" ht="15.75">
      <c r="A24" s="55">
        <v>18</v>
      </c>
      <c r="B24" s="56" t="s">
        <v>22</v>
      </c>
      <c r="C24" s="67">
        <v>5624.22</v>
      </c>
    </row>
    <row r="25" spans="1:3" ht="15.75">
      <c r="A25" s="55">
        <v>19</v>
      </c>
      <c r="B25" s="56" t="s">
        <v>23</v>
      </c>
      <c r="C25" s="67"/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5441.58</v>
      </c>
    </row>
    <row r="28" spans="1:3" ht="15.75">
      <c r="A28" s="55">
        <v>22</v>
      </c>
      <c r="B28" s="56" t="s">
        <v>26</v>
      </c>
      <c r="C28" s="67">
        <v>2181.22</v>
      </c>
    </row>
    <row r="29" spans="1:3" ht="15.75">
      <c r="A29" s="55">
        <v>23</v>
      </c>
      <c r="B29" s="56" t="s">
        <v>27</v>
      </c>
      <c r="C29" s="67">
        <v>1487.11</v>
      </c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10339.98</v>
      </c>
    </row>
    <row r="32" spans="1:3" ht="15.75">
      <c r="A32" s="55">
        <v>26</v>
      </c>
      <c r="B32" s="56" t="s">
        <v>30</v>
      </c>
      <c r="C32" s="67"/>
    </row>
    <row r="33" spans="1:3" ht="15.75">
      <c r="A33" s="55">
        <v>27</v>
      </c>
      <c r="B33" s="56" t="s">
        <v>40</v>
      </c>
      <c r="C33" s="67"/>
    </row>
    <row r="34" spans="1:3" ht="15.75">
      <c r="A34" s="55">
        <v>28</v>
      </c>
      <c r="B34" s="56" t="s">
        <v>41</v>
      </c>
      <c r="C34" s="67">
        <v>3774.85</v>
      </c>
    </row>
    <row r="35" spans="1:3" ht="15.75">
      <c r="A35" s="55">
        <v>29</v>
      </c>
      <c r="B35" s="56" t="s">
        <v>42</v>
      </c>
      <c r="C35" s="67">
        <v>8109.84</v>
      </c>
    </row>
    <row r="36" spans="1:3" ht="15.75">
      <c r="A36" s="55">
        <v>30</v>
      </c>
      <c r="B36" s="56" t="s">
        <v>44</v>
      </c>
      <c r="C36" s="67"/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>
        <v>803.12</v>
      </c>
    </row>
    <row r="41" spans="1:3" ht="15.75">
      <c r="A41" s="55">
        <v>35</v>
      </c>
      <c r="B41" s="56" t="s">
        <v>71</v>
      </c>
      <c r="C41" s="67"/>
    </row>
    <row r="42" spans="1:3" ht="15.75">
      <c r="A42" s="57"/>
      <c r="B42" s="57" t="s">
        <v>31</v>
      </c>
      <c r="C42" s="68">
        <f>SUM(C7:C41)</f>
        <v>124362.09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J25" sqref="J25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0" t="s">
        <v>85</v>
      </c>
      <c r="B3" s="80"/>
      <c r="C3" s="80"/>
      <c r="D3" s="80"/>
      <c r="E3" s="80"/>
      <c r="F3" s="80"/>
      <c r="G3" s="80"/>
    </row>
    <row r="4" spans="1:7" ht="15">
      <c r="A4" s="81"/>
      <c r="B4" s="81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26610.08</v>
      </c>
      <c r="D6" s="6">
        <v>48372.12</v>
      </c>
      <c r="E6" s="7">
        <f>C6+D6</f>
        <v>74982.20000000001</v>
      </c>
      <c r="F6" s="36"/>
      <c r="G6" s="36"/>
    </row>
    <row r="7" spans="1:7" ht="15.75">
      <c r="A7" s="55">
        <v>2</v>
      </c>
      <c r="B7" s="56" t="s">
        <v>7</v>
      </c>
      <c r="C7" s="6">
        <f>4568.88+464.72</f>
        <v>5033.6</v>
      </c>
      <c r="D7" s="6">
        <f>5203.11+3176.28</f>
        <v>8379.39</v>
      </c>
      <c r="E7" s="7">
        <f aca="true" t="shared" si="0" ref="E7:E40">C7+D7</f>
        <v>13412.99</v>
      </c>
      <c r="F7" s="36"/>
      <c r="G7" s="36"/>
    </row>
    <row r="8" spans="1:7" ht="15.75">
      <c r="A8" s="55">
        <v>3</v>
      </c>
      <c r="B8" s="56" t="s">
        <v>8</v>
      </c>
      <c r="C8" s="6"/>
      <c r="D8" s="6"/>
      <c r="E8" s="7">
        <f t="shared" si="0"/>
        <v>0</v>
      </c>
      <c r="F8" s="36"/>
      <c r="G8" s="36"/>
    </row>
    <row r="9" spans="1:7" ht="15.75">
      <c r="A9" s="55">
        <v>4</v>
      </c>
      <c r="B9" s="56" t="s">
        <v>9</v>
      </c>
      <c r="C9" s="6">
        <v>886.85</v>
      </c>
      <c r="D9" s="6">
        <v>1073.14</v>
      </c>
      <c r="E9" s="7">
        <f t="shared" si="0"/>
        <v>1959.9900000000002</v>
      </c>
      <c r="F9" s="36"/>
      <c r="G9" s="36"/>
    </row>
    <row r="10" spans="1:7" ht="15.75">
      <c r="A10" s="55">
        <v>5</v>
      </c>
      <c r="B10" s="56" t="s">
        <v>10</v>
      </c>
      <c r="C10" s="6">
        <v>6641</v>
      </c>
      <c r="D10" s="6">
        <v>14915.39</v>
      </c>
      <c r="E10" s="7">
        <f t="shared" si="0"/>
        <v>21556.39</v>
      </c>
      <c r="F10" s="36"/>
      <c r="G10" s="36"/>
    </row>
    <row r="11" spans="1:7" ht="15.75">
      <c r="A11" s="55">
        <v>6</v>
      </c>
      <c r="B11" s="56" t="s">
        <v>11</v>
      </c>
      <c r="C11" s="6">
        <f>13045.16+6810.67+4509.7</f>
        <v>24365.530000000002</v>
      </c>
      <c r="D11" s="6">
        <f>17702.69+9658.18+19595.54</f>
        <v>46956.41</v>
      </c>
      <c r="E11" s="7">
        <f t="shared" si="0"/>
        <v>71321.94</v>
      </c>
      <c r="F11" s="36"/>
      <c r="G11" s="36"/>
    </row>
    <row r="12" spans="1:7" ht="15.75">
      <c r="A12" s="55">
        <v>7</v>
      </c>
      <c r="B12" s="56" t="s">
        <v>59</v>
      </c>
      <c r="C12" s="6">
        <f>2731.1+4651.99+309.82+179.14+2459.43+654.9+73.02</f>
        <v>11059.4</v>
      </c>
      <c r="D12" s="6">
        <f>4722.21+7500.05+2375.36+492.87+263.34+1662.39+5280.29</f>
        <v>22296.510000000002</v>
      </c>
      <c r="E12" s="7">
        <f t="shared" si="0"/>
        <v>33355.91</v>
      </c>
      <c r="F12" s="36"/>
      <c r="G12" s="36"/>
    </row>
    <row r="13" spans="1:7" ht="15.75">
      <c r="A13" s="55">
        <v>8</v>
      </c>
      <c r="B13" s="56" t="s">
        <v>12</v>
      </c>
      <c r="C13" s="6">
        <v>28703.14</v>
      </c>
      <c r="D13" s="6">
        <v>56605.43</v>
      </c>
      <c r="E13" s="7">
        <f t="shared" si="0"/>
        <v>85308.57</v>
      </c>
      <c r="F13" s="36"/>
      <c r="G13" s="36"/>
    </row>
    <row r="14" spans="1:7" ht="15.75">
      <c r="A14" s="55">
        <v>9</v>
      </c>
      <c r="B14" s="56" t="s">
        <v>13</v>
      </c>
      <c r="C14" s="6">
        <f>10545.13+965.69</f>
        <v>11510.82</v>
      </c>
      <c r="D14" s="6">
        <f>20007.7+2380.17</f>
        <v>22387.870000000003</v>
      </c>
      <c r="E14" s="7">
        <f t="shared" si="0"/>
        <v>33898.69</v>
      </c>
      <c r="F14" s="36"/>
      <c r="G14" s="36"/>
    </row>
    <row r="15" spans="1:7" ht="15.75">
      <c r="A15" s="55">
        <v>10</v>
      </c>
      <c r="B15" s="56" t="s">
        <v>14</v>
      </c>
      <c r="C15" s="6">
        <f>1803.03+3028.78+5990.85</f>
        <v>10822.66</v>
      </c>
      <c r="D15" s="6">
        <f>9184.16+3473.35+15319.09</f>
        <v>27976.6</v>
      </c>
      <c r="E15" s="7">
        <f t="shared" si="0"/>
        <v>38799.259999999995</v>
      </c>
      <c r="F15" s="36"/>
      <c r="G15" s="36"/>
    </row>
    <row r="16" spans="1:7" ht="15.75">
      <c r="A16" s="55">
        <v>11</v>
      </c>
      <c r="B16" s="56" t="s">
        <v>15</v>
      </c>
      <c r="C16" s="6">
        <v>6582.53</v>
      </c>
      <c r="D16" s="6">
        <v>12347.92</v>
      </c>
      <c r="E16" s="7">
        <f t="shared" si="0"/>
        <v>18930.45</v>
      </c>
      <c r="F16" s="36"/>
      <c r="G16" s="36"/>
    </row>
    <row r="17" spans="1:7" ht="15.75">
      <c r="A17" s="55">
        <v>12</v>
      </c>
      <c r="B17" s="56" t="s">
        <v>16</v>
      </c>
      <c r="C17" s="6">
        <v>2901.78</v>
      </c>
      <c r="D17" s="6">
        <v>5595.62</v>
      </c>
      <c r="E17" s="7">
        <f t="shared" si="0"/>
        <v>8497.4</v>
      </c>
      <c r="F17" s="36"/>
      <c r="G17" s="36"/>
    </row>
    <row r="18" spans="1:7" ht="15.75">
      <c r="A18" s="55">
        <v>13</v>
      </c>
      <c r="B18" s="56" t="s">
        <v>17</v>
      </c>
      <c r="C18" s="6">
        <v>8211.12</v>
      </c>
      <c r="D18" s="6">
        <v>17547.47</v>
      </c>
      <c r="E18" s="7">
        <f t="shared" si="0"/>
        <v>25758.590000000004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185.62</v>
      </c>
      <c r="D21" s="6">
        <v>1086</v>
      </c>
      <c r="E21" s="7">
        <f t="shared" si="0"/>
        <v>1271.62</v>
      </c>
      <c r="F21" s="36"/>
      <c r="G21" s="36"/>
    </row>
    <row r="22" spans="1:7" ht="15.75">
      <c r="A22" s="55">
        <v>17</v>
      </c>
      <c r="B22" s="56" t="s">
        <v>21</v>
      </c>
      <c r="C22" s="6">
        <v>3657.65</v>
      </c>
      <c r="D22" s="6">
        <v>7039.32</v>
      </c>
      <c r="E22" s="7">
        <f t="shared" si="0"/>
        <v>10696.97</v>
      </c>
      <c r="F22" s="36"/>
      <c r="G22" s="36"/>
    </row>
    <row r="23" spans="1:7" ht="15.75">
      <c r="A23" s="55">
        <v>18</v>
      </c>
      <c r="B23" s="56" t="s">
        <v>22</v>
      </c>
      <c r="C23" s="6">
        <f>4408.78+2039.64+123.74</f>
        <v>6572.16</v>
      </c>
      <c r="D23" s="6">
        <f>8798.85+4907.25+701.22</f>
        <v>14407.32</v>
      </c>
      <c r="E23" s="7">
        <f t="shared" si="0"/>
        <v>20979.48</v>
      </c>
      <c r="F23" s="36"/>
      <c r="G23" s="36"/>
    </row>
    <row r="24" spans="1:7" ht="15.75">
      <c r="A24" s="55">
        <v>19</v>
      </c>
      <c r="B24" s="56" t="s">
        <v>23</v>
      </c>
      <c r="C24" s="6">
        <v>199.96</v>
      </c>
      <c r="D24" s="6">
        <v>736.93</v>
      </c>
      <c r="E24" s="7">
        <f t="shared" si="0"/>
        <v>936.89</v>
      </c>
      <c r="F24" s="36"/>
      <c r="G24" s="36"/>
    </row>
    <row r="25" spans="1:7" ht="15.75">
      <c r="A25" s="55">
        <v>20</v>
      </c>
      <c r="B25" s="56" t="s">
        <v>24</v>
      </c>
      <c r="C25" s="6">
        <v>1463.75</v>
      </c>
      <c r="D25" s="6">
        <v>1336.26</v>
      </c>
      <c r="E25" s="7">
        <f t="shared" si="0"/>
        <v>2800.01</v>
      </c>
      <c r="F25" s="36"/>
      <c r="G25" s="36"/>
    </row>
    <row r="26" spans="1:7" ht="15.75">
      <c r="A26" s="55">
        <v>21</v>
      </c>
      <c r="B26" s="56" t="s">
        <v>25</v>
      </c>
      <c r="C26" s="6">
        <f>4111.35+3332.45+204.07</f>
        <v>7647.87</v>
      </c>
      <c r="D26" s="6">
        <f>9002.69+5670.67+1075.45</f>
        <v>15748.810000000001</v>
      </c>
      <c r="E26" s="7">
        <f t="shared" si="0"/>
        <v>23396.68</v>
      </c>
      <c r="F26" s="36"/>
      <c r="G26" s="36"/>
    </row>
    <row r="27" spans="1:7" ht="15.75">
      <c r="A27" s="55">
        <v>22</v>
      </c>
      <c r="B27" s="56" t="s">
        <v>26</v>
      </c>
      <c r="C27" s="6">
        <v>9973.96</v>
      </c>
      <c r="D27" s="6">
        <v>18101.63</v>
      </c>
      <c r="E27" s="7">
        <f t="shared" si="0"/>
        <v>28075.59</v>
      </c>
      <c r="F27" s="36"/>
      <c r="G27" s="36"/>
    </row>
    <row r="28" spans="1:7" ht="15.75">
      <c r="A28" s="55">
        <v>23</v>
      </c>
      <c r="B28" s="56" t="s">
        <v>27</v>
      </c>
      <c r="C28" s="6">
        <f>455.11+539.04</f>
        <v>994.15</v>
      </c>
      <c r="D28" s="6">
        <f>1300.08+1127.48</f>
        <v>2427.56</v>
      </c>
      <c r="E28" s="7">
        <f t="shared" si="0"/>
        <v>3421.71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2655.25+3374.76+2484.58</f>
        <v>8514.59</v>
      </c>
      <c r="D30" s="6">
        <f>4666.27+6510.31+7739.55</f>
        <v>18916.13</v>
      </c>
      <c r="E30" s="7">
        <f t="shared" si="0"/>
        <v>27430.72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/>
      <c r="D32" s="6"/>
      <c r="E32" s="7">
        <f t="shared" si="0"/>
        <v>0</v>
      </c>
      <c r="F32" s="36"/>
      <c r="G32" s="36"/>
    </row>
    <row r="33" spans="1:7" ht="15.75">
      <c r="A33" s="55">
        <v>28</v>
      </c>
      <c r="B33" s="56" t="s">
        <v>41</v>
      </c>
      <c r="C33" s="6">
        <f>5594.88+426.64+36.94+469.32</f>
        <v>6527.78</v>
      </c>
      <c r="D33" s="6">
        <f>7993.36+893.3+1250.88+981.83</f>
        <v>11119.37</v>
      </c>
      <c r="E33" s="7">
        <f t="shared" si="0"/>
        <v>17647.15</v>
      </c>
      <c r="F33" s="36"/>
      <c r="G33" s="36"/>
    </row>
    <row r="34" spans="1:7" ht="15.75">
      <c r="A34" s="55">
        <v>29</v>
      </c>
      <c r="B34" s="56" t="s">
        <v>42</v>
      </c>
      <c r="C34" s="6">
        <v>9067.1</v>
      </c>
      <c r="D34" s="6">
        <v>21806.18</v>
      </c>
      <c r="E34" s="7">
        <f t="shared" si="0"/>
        <v>30873.28</v>
      </c>
      <c r="F34" s="36"/>
      <c r="G34" s="36"/>
    </row>
    <row r="35" spans="1:7" ht="15.75">
      <c r="A35" s="55">
        <v>30</v>
      </c>
      <c r="B35" s="56" t="s">
        <v>44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416.38</v>
      </c>
      <c r="D39" s="6">
        <v>2514.37</v>
      </c>
      <c r="E39" s="7">
        <f t="shared" si="0"/>
        <v>2930.75</v>
      </c>
      <c r="F39" s="36"/>
      <c r="G39" s="36"/>
    </row>
    <row r="40" spans="1:7" ht="15.75">
      <c r="A40" s="55">
        <v>35</v>
      </c>
      <c r="B40" s="56" t="s">
        <v>71</v>
      </c>
      <c r="C40" s="6">
        <v>51.19</v>
      </c>
      <c r="D40" s="6">
        <v>1333.29</v>
      </c>
      <c r="E40" s="7">
        <f t="shared" si="0"/>
        <v>1384.48</v>
      </c>
      <c r="F40" s="36"/>
      <c r="G40" s="36"/>
    </row>
    <row r="41" spans="1:7" ht="15.75">
      <c r="A41" s="57"/>
      <c r="B41" s="57" t="s">
        <v>31</v>
      </c>
      <c r="C41" s="6">
        <f>SUM(C6:C40)</f>
        <v>198600.66999999995</v>
      </c>
      <c r="D41" s="6">
        <f>SUM(D6:D40)</f>
        <v>401027.04</v>
      </c>
      <c r="E41" s="7">
        <f>SUM(E6:E40)</f>
        <v>599627.7100000001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D6" sqref="D6:D40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9" t="s">
        <v>86</v>
      </c>
      <c r="B3" s="79"/>
      <c r="C3" s="79"/>
      <c r="D3" s="79"/>
      <c r="E3" s="79"/>
      <c r="F3" s="79"/>
    </row>
    <row r="4" spans="1:6" ht="15">
      <c r="A4" s="82"/>
      <c r="B4" s="82"/>
      <c r="C4" s="82"/>
      <c r="D4" s="82"/>
      <c r="E4" s="82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7">
        <v>13080</v>
      </c>
      <c r="D6" s="67">
        <v>1080</v>
      </c>
    </row>
    <row r="7" spans="1:4" ht="15.75">
      <c r="A7" s="55">
        <v>2</v>
      </c>
      <c r="B7" s="56" t="s">
        <v>7</v>
      </c>
      <c r="C7" s="67">
        <v>1668</v>
      </c>
      <c r="D7" s="67"/>
    </row>
    <row r="8" spans="1:4" ht="15.75">
      <c r="A8" s="55">
        <v>3</v>
      </c>
      <c r="B8" s="56" t="s">
        <v>8</v>
      </c>
      <c r="C8" s="67">
        <v>120</v>
      </c>
      <c r="D8" s="67"/>
    </row>
    <row r="9" spans="1:4" ht="15.75">
      <c r="A9" s="55">
        <v>4</v>
      </c>
      <c r="B9" s="56" t="s">
        <v>9</v>
      </c>
      <c r="C9" s="67">
        <v>360</v>
      </c>
      <c r="D9" s="67"/>
    </row>
    <row r="10" spans="1:4" ht="15.75">
      <c r="A10" s="55">
        <v>5</v>
      </c>
      <c r="B10" s="56" t="s">
        <v>10</v>
      </c>
      <c r="C10" s="67">
        <v>3360</v>
      </c>
      <c r="D10" s="67"/>
    </row>
    <row r="11" spans="1:4" ht="15.75">
      <c r="A11" s="55">
        <v>6</v>
      </c>
      <c r="B11" s="56" t="s">
        <v>11</v>
      </c>
      <c r="C11" s="67">
        <v>9120</v>
      </c>
      <c r="D11" s="67">
        <v>600</v>
      </c>
    </row>
    <row r="12" spans="1:4" ht="15.75">
      <c r="A12" s="55">
        <v>7</v>
      </c>
      <c r="B12" s="56" t="s">
        <v>59</v>
      </c>
      <c r="C12" s="67">
        <v>3360</v>
      </c>
      <c r="D12" s="67">
        <v>960</v>
      </c>
    </row>
    <row r="13" spans="1:4" ht="15.75">
      <c r="A13" s="55">
        <v>8</v>
      </c>
      <c r="B13" s="56" t="s">
        <v>12</v>
      </c>
      <c r="C13" s="67">
        <v>11280</v>
      </c>
      <c r="D13" s="67">
        <v>2520</v>
      </c>
    </row>
    <row r="14" spans="1:4" ht="15.75">
      <c r="A14" s="55">
        <v>9</v>
      </c>
      <c r="B14" s="56" t="s">
        <v>13</v>
      </c>
      <c r="C14" s="67">
        <v>3960</v>
      </c>
      <c r="D14" s="67"/>
    </row>
    <row r="15" spans="1:4" ht="15.75">
      <c r="A15" s="55">
        <v>10</v>
      </c>
      <c r="B15" s="56" t="s">
        <v>14</v>
      </c>
      <c r="C15" s="67">
        <v>6720</v>
      </c>
      <c r="D15" s="67">
        <v>960</v>
      </c>
    </row>
    <row r="16" spans="1:4" ht="15.75">
      <c r="A16" s="55">
        <v>11</v>
      </c>
      <c r="B16" s="56" t="s">
        <v>15</v>
      </c>
      <c r="C16" s="67">
        <v>2880</v>
      </c>
      <c r="D16" s="67"/>
    </row>
    <row r="17" spans="1:4" ht="15.75">
      <c r="A17" s="55">
        <v>12</v>
      </c>
      <c r="B17" s="56" t="s">
        <v>16</v>
      </c>
      <c r="C17" s="67">
        <v>1200</v>
      </c>
      <c r="D17" s="67"/>
    </row>
    <row r="18" spans="1:4" ht="15.75">
      <c r="A18" s="55">
        <v>13</v>
      </c>
      <c r="B18" s="56" t="s">
        <v>17</v>
      </c>
      <c r="C18" s="67">
        <v>4440</v>
      </c>
      <c r="D18" s="67">
        <v>480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>
        <v>120</v>
      </c>
      <c r="D21" s="67"/>
    </row>
    <row r="22" spans="1:4" ht="15.75">
      <c r="A22" s="55">
        <v>17</v>
      </c>
      <c r="B22" s="56" t="s">
        <v>21</v>
      </c>
      <c r="C22" s="67">
        <v>2520</v>
      </c>
      <c r="D22" s="67"/>
    </row>
    <row r="23" spans="1:4" ht="15.75">
      <c r="A23" s="55">
        <v>18</v>
      </c>
      <c r="B23" s="56" t="s">
        <v>22</v>
      </c>
      <c r="C23" s="67">
        <v>3600</v>
      </c>
      <c r="D23" s="67">
        <v>120</v>
      </c>
    </row>
    <row r="24" spans="1:4" ht="15.75">
      <c r="A24" s="55">
        <v>19</v>
      </c>
      <c r="B24" s="56" t="s">
        <v>23</v>
      </c>
      <c r="C24" s="67">
        <v>240</v>
      </c>
      <c r="D24" s="67"/>
    </row>
    <row r="25" spans="1:4" ht="15.75">
      <c r="A25" s="55">
        <v>20</v>
      </c>
      <c r="B25" s="56" t="s">
        <v>24</v>
      </c>
      <c r="C25" s="67">
        <v>240</v>
      </c>
      <c r="D25" s="67"/>
    </row>
    <row r="26" spans="1:4" ht="15.75">
      <c r="A26" s="55">
        <v>21</v>
      </c>
      <c r="B26" s="56" t="s">
        <v>25</v>
      </c>
      <c r="C26" s="67">
        <v>3840</v>
      </c>
      <c r="D26" s="67"/>
    </row>
    <row r="27" spans="1:4" ht="15.75">
      <c r="A27" s="55">
        <v>22</v>
      </c>
      <c r="B27" s="56" t="s">
        <v>26</v>
      </c>
      <c r="C27" s="67">
        <v>3660</v>
      </c>
      <c r="D27" s="67"/>
    </row>
    <row r="28" spans="1:4" ht="15.75">
      <c r="A28" s="55">
        <v>23</v>
      </c>
      <c r="B28" s="56" t="s">
        <v>27</v>
      </c>
      <c r="C28" s="67">
        <v>720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4740</v>
      </c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>
        <v>2160</v>
      </c>
      <c r="D33" s="67"/>
    </row>
    <row r="34" spans="1:4" ht="15.75">
      <c r="A34" s="55">
        <v>29</v>
      </c>
      <c r="B34" s="56" t="s">
        <v>42</v>
      </c>
      <c r="C34" s="67">
        <v>4200</v>
      </c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>
        <v>720</v>
      </c>
      <c r="D39" s="67"/>
    </row>
    <row r="40" spans="1:4" ht="15.75">
      <c r="A40" s="55">
        <v>35</v>
      </c>
      <c r="B40" s="56" t="s">
        <v>71</v>
      </c>
      <c r="C40" s="67">
        <v>120</v>
      </c>
      <c r="D40" s="67"/>
    </row>
    <row r="41" spans="1:4" ht="15.75">
      <c r="A41" s="57"/>
      <c r="B41" s="57" t="s">
        <v>31</v>
      </c>
      <c r="C41" s="68">
        <f>SUM(C6:C40)</f>
        <v>88428</v>
      </c>
      <c r="D41" s="68">
        <f>SUM(D6:D40)</f>
        <v>6720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C6" sqref="C6:C40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87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7">
        <v>35098.51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93337.16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78196.23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312372.85000000003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C6" sqref="C6:C4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3" t="s">
        <v>88</v>
      </c>
      <c r="B3" s="83"/>
      <c r="C3" s="83"/>
      <c r="D3" s="83"/>
      <c r="E3" s="83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76360.21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>
        <v>42.68</v>
      </c>
    </row>
    <row r="10" spans="1:3" ht="15.75">
      <c r="A10" s="55">
        <v>5</v>
      </c>
      <c r="B10" s="56" t="s">
        <v>10</v>
      </c>
      <c r="C10" s="67">
        <v>1167.26</v>
      </c>
    </row>
    <row r="11" spans="1:3" ht="15.75">
      <c r="A11" s="55">
        <v>6</v>
      </c>
      <c r="B11" s="56" t="s">
        <v>11</v>
      </c>
      <c r="C11" s="67">
        <v>1953.19</v>
      </c>
    </row>
    <row r="12" spans="1:3" ht="15.75">
      <c r="A12" s="55">
        <v>7</v>
      </c>
      <c r="B12" s="56" t="s">
        <v>59</v>
      </c>
      <c r="C12" s="67">
        <v>782.14</v>
      </c>
    </row>
    <row r="13" spans="1:3" ht="15.75">
      <c r="A13" s="55">
        <v>8</v>
      </c>
      <c r="B13" s="56" t="s">
        <v>12</v>
      </c>
      <c r="C13" s="67">
        <v>160108.32</v>
      </c>
    </row>
    <row r="14" spans="1:3" ht="15.75">
      <c r="A14" s="55">
        <v>9</v>
      </c>
      <c r="B14" s="56" t="s">
        <v>13</v>
      </c>
      <c r="C14" s="67">
        <v>301.46</v>
      </c>
    </row>
    <row r="15" spans="1:3" ht="15.75">
      <c r="A15" s="55">
        <v>10</v>
      </c>
      <c r="B15" s="56" t="s">
        <v>14</v>
      </c>
      <c r="C15" s="67">
        <v>17880.86</v>
      </c>
    </row>
    <row r="16" spans="1:3" ht="15.75">
      <c r="A16" s="55">
        <v>11</v>
      </c>
      <c r="B16" s="56" t="s">
        <v>15</v>
      </c>
      <c r="C16" s="67">
        <v>1355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751.98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>
        <v>1993.53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>
        <v>120.03</v>
      </c>
    </row>
    <row r="26" spans="1:3" ht="15.75">
      <c r="A26" s="55">
        <v>21</v>
      </c>
      <c r="B26" s="56" t="s">
        <v>25</v>
      </c>
      <c r="C26" s="67">
        <v>161376.58</v>
      </c>
    </row>
    <row r="27" spans="1:3" ht="15.75">
      <c r="A27" s="55">
        <v>22</v>
      </c>
      <c r="B27" s="56" t="s">
        <v>26</v>
      </c>
      <c r="C27" s="67">
        <v>1195.76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35473.9</v>
      </c>
    </row>
    <row r="31" spans="1:3" ht="15.75">
      <c r="A31" s="55">
        <v>26</v>
      </c>
      <c r="B31" s="56" t="s">
        <v>30</v>
      </c>
      <c r="C31" s="67">
        <v>14786.89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319.83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475969.62000000005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2020-09-17T10:53:15Z</cp:lastPrinted>
  <dcterms:created xsi:type="dcterms:W3CDTF">2011-06-30T06:54:46Z</dcterms:created>
  <dcterms:modified xsi:type="dcterms:W3CDTF">2021-02-22T07:35:05Z</dcterms:modified>
  <cp:category/>
  <cp:version/>
  <cp:contentType/>
  <cp:contentStatus/>
</cp:coreProperties>
</file>